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trlProps/ctrlProp4.xml" ContentType="application/vnd.ms-excel.controlproperties+xml"/>
  <Override PartName="/xl/drawings/drawing8.xml" ContentType="application/vnd.openxmlformats-officedocument.drawing+xml"/>
  <Override PartName="/xl/ctrlProps/ctrlProp5.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6.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https://chevron.sharepoint.com/sites/EnergyTransitions/ClimatePO/Shared Documents/PCI Calculator/"/>
    </mc:Choice>
  </mc:AlternateContent>
  <xr:revisionPtr revIDLastSave="671" documentId="8_{8BBE9810-3AED-427B-933B-0615F4D1BA59}" xr6:coauthVersionLast="47" xr6:coauthVersionMax="47" xr10:uidLastSave="{2C84CC30-81A0-4769-8BF1-41096F17063A}"/>
  <bookViews>
    <workbookView xWindow="22932" yWindow="-108" windowWidth="23256" windowHeight="14016" tabRatio="816" xr2:uid="{00000000-000D-0000-FFFF-FFFF00000000}"/>
  </bookViews>
  <sheets>
    <sheet name="Home" sheetId="21" r:id="rId1"/>
    <sheet name="Education" sheetId="24" r:id="rId2"/>
    <sheet name="FAQ" sheetId="30" r:id="rId3"/>
    <sheet name="User Guide" sheetId="7" r:id="rId4"/>
    <sheet name="Abbreviations" sheetId="14" r:id="rId5"/>
    <sheet name="Dashboard" sheetId="1" r:id="rId6"/>
    <sheet name=" Alt Calc - Refined Products" sheetId="23" r:id="rId7"/>
    <sheet name="Factors" sheetId="25" r:id="rId8"/>
    <sheet name="Oil and Refined Products" sheetId="16" r:id="rId9"/>
    <sheet name="Gas and LNG" sheetId="9" r:id="rId10"/>
    <sheet name="Biofuels" sheetId="19" r:id="rId11"/>
    <sheet name="NGLs" sheetId="15" r:id="rId12"/>
    <sheet name="Hydrogen" sheetId="11" r:id="rId13"/>
    <sheet name="Lower Carbon Power" sheetId="13" r:id="rId14"/>
    <sheet name="Terms and Conditions" sheetId="4" r:id="rId15"/>
  </sheets>
  <definedNames>
    <definedName name="_xlnm._FilterDatabase" localSheetId="4" hidden="1">Abbreviations!$B$4:$C$44</definedName>
    <definedName name="_xlnm._FilterDatabase" localSheetId="8" hidden="1">'Oil and Refined Products'!$B$80:$D$86</definedName>
    <definedName name="_xlnm.Print_Area" localSheetId="1">Education!$A$1:$AC$98</definedName>
    <definedName name="_xlnm.Print_Area" localSheetId="2">FAQ!$A$1:$E$43</definedName>
    <definedName name="_xlnm.Print_Area" localSheetId="12">Hydrogen!$A$1:$EF$47</definedName>
    <definedName name="_xlnm.Print_Area" localSheetId="13">'Lower Carbon Power'!$A$1:$M$36</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5" i="16" l="1"/>
  <c r="D45" i="16"/>
  <c r="D44" i="16"/>
  <c r="D43" i="16"/>
  <c r="D42" i="16"/>
  <c r="D41" i="16"/>
  <c r="F94" i="25"/>
  <c r="D18" i="15" l="1"/>
  <c r="D17" i="15"/>
  <c r="C17" i="15"/>
  <c r="C21" i="15"/>
  <c r="D21" i="15"/>
  <c r="D25" i="15" l="1"/>
  <c r="H21" i="1" l="1"/>
  <c r="C19" i="19"/>
  <c r="C20" i="9"/>
  <c r="J19" i="1"/>
  <c r="D27" i="15"/>
  <c r="D95" i="16"/>
  <c r="F40" i="25" l="1"/>
  <c r="D40" i="25"/>
  <c r="H94" i="25"/>
  <c r="F95" i="25"/>
  <c r="H95" i="25"/>
  <c r="F96" i="25"/>
  <c r="H96" i="25"/>
  <c r="F97" i="25"/>
  <c r="H97" i="25"/>
  <c r="F98" i="25"/>
  <c r="H98" i="25"/>
  <c r="B61" i="16"/>
  <c r="E31" i="9"/>
  <c r="H99" i="25" l="1"/>
  <c r="F99" i="25"/>
  <c r="C19" i="13"/>
  <c r="D19" i="13"/>
  <c r="C24" i="11"/>
  <c r="D18" i="19"/>
  <c r="D19" i="19"/>
  <c r="D17" i="19"/>
  <c r="C17" i="19"/>
  <c r="F24" i="25"/>
  <c r="D24" i="25"/>
  <c r="E28" i="15"/>
  <c r="D14" i="19"/>
  <c r="D19" i="15"/>
  <c r="D21" i="9"/>
  <c r="D25" i="16"/>
  <c r="D20" i="9"/>
  <c r="E55" i="16"/>
  <c r="B60" i="16"/>
  <c r="D24" i="16"/>
  <c r="C55" i="16"/>
  <c r="C56" i="16"/>
  <c r="D14" i="13"/>
  <c r="D15" i="13"/>
  <c r="D13" i="13"/>
  <c r="D20" i="11"/>
  <c r="D19" i="11"/>
  <c r="D18" i="11"/>
  <c r="D17" i="11"/>
  <c r="D14" i="11"/>
  <c r="D13" i="11"/>
  <c r="D12" i="11"/>
  <c r="E27" i="15"/>
  <c r="D20" i="15"/>
  <c r="E30" i="9"/>
  <c r="E29" i="9"/>
  <c r="E28" i="9"/>
  <c r="D23" i="9"/>
  <c r="D22" i="9"/>
  <c r="D19" i="9"/>
  <c r="E95" i="16"/>
  <c r="E94" i="16"/>
  <c r="E92" i="16"/>
  <c r="D26" i="16"/>
  <c r="C9" i="1"/>
  <c r="C24" i="1"/>
  <c r="C27" i="9"/>
  <c r="C25" i="1"/>
  <c r="C26" i="1"/>
  <c r="F55" i="16" l="1"/>
  <c r="D20" i="25"/>
  <c r="C18" i="15" s="1"/>
  <c r="F20" i="25"/>
  <c r="D19" i="25"/>
  <c r="F19" i="25"/>
  <c r="H20" i="1"/>
  <c r="H3" i="1" s="1"/>
  <c r="K19" i="1" l="1"/>
  <c r="H8" i="1"/>
  <c r="D15" i="23"/>
  <c r="C45" i="16" s="1"/>
  <c r="D14" i="23"/>
  <c r="C44" i="16" s="1"/>
  <c r="D13" i="23"/>
  <c r="C43" i="16" s="1"/>
  <c r="D12" i="23"/>
  <c r="C42" i="16" s="1"/>
  <c r="D11" i="23"/>
  <c r="C41" i="16" s="1"/>
  <c r="G41" i="16" l="1"/>
  <c r="E64" i="16" s="1"/>
  <c r="C18" i="16"/>
  <c r="B18" i="16"/>
  <c r="F8" i="25"/>
  <c r="D8" i="25"/>
  <c r="C31" i="9" l="1"/>
  <c r="F31" i="9" s="1"/>
  <c r="C26" i="16" l="1"/>
  <c r="C14" i="13"/>
  <c r="C15" i="13"/>
  <c r="C13" i="13"/>
  <c r="C19" i="11"/>
  <c r="C18" i="11"/>
  <c r="C17" i="11"/>
  <c r="C13" i="11"/>
  <c r="C14" i="11"/>
  <c r="C12" i="11"/>
  <c r="E24" i="11" s="1"/>
  <c r="C18" i="19"/>
  <c r="C14" i="19"/>
  <c r="D28" i="15"/>
  <c r="F28" i="15" s="1"/>
  <c r="C20" i="15"/>
  <c r="C19" i="15"/>
  <c r="C29" i="9"/>
  <c r="C30" i="9"/>
  <c r="C28" i="9"/>
  <c r="C23" i="9"/>
  <c r="F27" i="9" s="1"/>
  <c r="C22" i="9"/>
  <c r="C21" i="9"/>
  <c r="C25" i="16"/>
  <c r="D94" i="16"/>
  <c r="D92" i="16"/>
  <c r="E59" i="16"/>
  <c r="D59" i="16"/>
  <c r="C59" i="16"/>
  <c r="E58" i="16"/>
  <c r="D58" i="16"/>
  <c r="C58" i="16"/>
  <c r="E57" i="16"/>
  <c r="D57" i="16"/>
  <c r="C57" i="16"/>
  <c r="E56" i="16"/>
  <c r="F56" i="16" s="1"/>
  <c r="D56" i="16"/>
  <c r="D55" i="16"/>
  <c r="C20" i="11"/>
  <c r="C24" i="16"/>
  <c r="H103" i="16" s="1"/>
  <c r="H7" i="1"/>
  <c r="D24" i="11" l="1"/>
  <c r="F24" i="11" s="1"/>
  <c r="G35" i="9"/>
  <c r="H92" i="16"/>
  <c r="F30" i="9"/>
  <c r="E35" i="9" s="1"/>
  <c r="F35" i="9" s="1"/>
  <c r="F28" i="9"/>
  <c r="F29" i="9"/>
  <c r="F58" i="16"/>
  <c r="F59" i="16"/>
  <c r="F57" i="16"/>
  <c r="E37" i="9" l="1"/>
  <c r="E36" i="9"/>
  <c r="C19" i="16" l="1"/>
  <c r="C20" i="16" s="1"/>
  <c r="C36" i="16" s="1"/>
  <c r="C13" i="16"/>
  <c r="D93" i="16" l="1"/>
  <c r="D91" i="16"/>
  <c r="H91" i="16" s="1"/>
  <c r="H94" i="16" l="1"/>
  <c r="H102" i="16"/>
  <c r="H93" i="16"/>
  <c r="C16" i="16" l="1"/>
  <c r="C11" i="19" l="1"/>
  <c r="C22" i="19" s="1"/>
  <c r="C24" i="19" s="1"/>
  <c r="C23" i="19" l="1"/>
  <c r="C6" i="19"/>
  <c r="I16" i="1" s="1"/>
  <c r="C7" i="19" l="1"/>
  <c r="C25" i="11"/>
  <c r="C26" i="11"/>
  <c r="D26" i="11" s="1"/>
  <c r="J16" i="1" l="1"/>
  <c r="K16" i="1" s="1"/>
  <c r="C27" i="11"/>
  <c r="C8" i="19" l="1"/>
  <c r="H107" i="16" l="1"/>
  <c r="H106" i="16"/>
  <c r="H105" i="16"/>
  <c r="H101" i="16"/>
  <c r="H104" i="16"/>
  <c r="C25" i="13"/>
  <c r="E25" i="13" s="1"/>
  <c r="C23" i="13" l="1"/>
  <c r="C24" i="13"/>
  <c r="E24" i="13" s="1"/>
  <c r="D25" i="11"/>
  <c r="F25" i="11" s="1"/>
  <c r="F26" i="11"/>
  <c r="D23" i="13" l="1"/>
  <c r="E23" i="13"/>
  <c r="E26" i="13" s="1"/>
  <c r="F27" i="11"/>
  <c r="C26" i="13"/>
  <c r="D27" i="11"/>
  <c r="C6" i="11" s="1"/>
  <c r="C7" i="13" l="1"/>
  <c r="J18" i="1" s="1"/>
  <c r="I17" i="1"/>
  <c r="D26" i="15"/>
  <c r="B16" i="16"/>
  <c r="B13" i="16"/>
  <c r="B12" i="16"/>
  <c r="F27" i="15"/>
  <c r="E35" i="15" s="1"/>
  <c r="E34" i="15" l="1"/>
  <c r="G45" i="16"/>
  <c r="G42" i="16"/>
  <c r="G44" i="16"/>
  <c r="G43" i="16"/>
  <c r="C64" i="16" l="1"/>
  <c r="D64" i="16"/>
  <c r="C67" i="16"/>
  <c r="D67" i="16"/>
  <c r="E67" i="16"/>
  <c r="C66" i="16"/>
  <c r="D66" i="16"/>
  <c r="E66" i="16"/>
  <c r="C65" i="16"/>
  <c r="D65" i="16"/>
  <c r="E65" i="16"/>
  <c r="D68" i="16"/>
  <c r="C68" i="16"/>
  <c r="E68" i="16"/>
  <c r="F26" i="15"/>
  <c r="F25" i="15"/>
  <c r="C13" i="15"/>
  <c r="C35" i="15" s="1"/>
  <c r="B25" i="11"/>
  <c r="B26" i="11"/>
  <c r="B24" i="11"/>
  <c r="F35" i="15" l="1"/>
  <c r="G35" i="15"/>
  <c r="D69" i="16"/>
  <c r="C69" i="16"/>
  <c r="E69" i="16"/>
  <c r="D35" i="15"/>
  <c r="C12" i="15"/>
  <c r="C34" i="15" s="1"/>
  <c r="C12" i="16"/>
  <c r="C14" i="16" s="1"/>
  <c r="E26" i="11"/>
  <c r="E25" i="11"/>
  <c r="C30" i="16" l="1"/>
  <c r="C31" i="16"/>
  <c r="F34" i="15"/>
  <c r="D34" i="15"/>
  <c r="D36" i="15" s="1"/>
  <c r="C6" i="15" s="1"/>
  <c r="C32" i="16"/>
  <c r="E27" i="11"/>
  <c r="G34" i="15"/>
  <c r="G36" i="15" s="1"/>
  <c r="C36" i="15"/>
  <c r="C37" i="16" l="1"/>
  <c r="C48" i="16" s="1"/>
  <c r="D81" i="16"/>
  <c r="C33" i="16"/>
  <c r="D82" i="16" s="1"/>
  <c r="D86" i="16" s="1"/>
  <c r="C7" i="11"/>
  <c r="D85" i="16"/>
  <c r="I15" i="1"/>
  <c r="F36" i="15"/>
  <c r="C7" i="15" s="1"/>
  <c r="J15" i="1" s="1"/>
  <c r="D84" i="16"/>
  <c r="C8" i="11"/>
  <c r="K17" i="1" l="1"/>
  <c r="J17" i="1"/>
  <c r="C49" i="16"/>
  <c r="C50" i="16"/>
  <c r="C52" i="16"/>
  <c r="C51" i="16"/>
  <c r="D36" i="16"/>
  <c r="C8" i="15"/>
  <c r="D83" i="16"/>
  <c r="D87" i="16" s="1"/>
  <c r="K15" i="1"/>
  <c r="D37" i="16"/>
  <c r="G49" i="16" l="1"/>
  <c r="G48" i="16"/>
  <c r="G52" i="16"/>
  <c r="G51" i="16"/>
  <c r="G50" i="16"/>
  <c r="E74" i="16" s="1"/>
  <c r="C15" i="9"/>
  <c r="C36" i="9" s="1"/>
  <c r="C13" i="9"/>
  <c r="C12" i="9"/>
  <c r="C14" i="9"/>
  <c r="D72" i="16" l="1"/>
  <c r="C72" i="16"/>
  <c r="D76" i="16"/>
  <c r="C76" i="16"/>
  <c r="D73" i="16"/>
  <c r="C73" i="16"/>
  <c r="E72" i="16"/>
  <c r="F36" i="9"/>
  <c r="C35" i="9"/>
  <c r="E73" i="16"/>
  <c r="C74" i="16"/>
  <c r="D74" i="16"/>
  <c r="E76" i="16"/>
  <c r="C75" i="16"/>
  <c r="D75" i="16"/>
  <c r="E75" i="16"/>
  <c r="D25" i="13"/>
  <c r="D24" i="13"/>
  <c r="B12" i="13"/>
  <c r="B24" i="13"/>
  <c r="B14" i="13" s="1"/>
  <c r="B25" i="13"/>
  <c r="B15" i="13" s="1"/>
  <c r="B23" i="13"/>
  <c r="B13" i="13" s="1"/>
  <c r="D35" i="9" l="1"/>
  <c r="D26" i="13"/>
  <c r="C37" i="9"/>
  <c r="C38" i="9" s="1"/>
  <c r="C6" i="13"/>
  <c r="I18" i="1" s="1"/>
  <c r="K18" i="1" s="1"/>
  <c r="G36" i="9"/>
  <c r="D36" i="9"/>
  <c r="D77" i="16"/>
  <c r="C77" i="16"/>
  <c r="E77" i="16"/>
  <c r="C8" i="13" l="1"/>
  <c r="F37" i="9"/>
  <c r="F38" i="9" s="1"/>
  <c r="C7" i="9" s="1"/>
  <c r="J14" i="1" s="1"/>
  <c r="G37" i="9"/>
  <c r="G38" i="9" s="1"/>
  <c r="D37" i="9"/>
  <c r="D38" i="9" s="1"/>
  <c r="C6" i="9" s="1"/>
  <c r="C8" i="9" l="1"/>
  <c r="I14" i="1"/>
  <c r="K14" i="1" l="1"/>
  <c r="B81" i="16" l="1"/>
  <c r="B82" i="16"/>
  <c r="B83" i="16"/>
  <c r="B84" i="16"/>
  <c r="B85" i="16"/>
  <c r="B86" i="16"/>
  <c r="B87" i="16"/>
  <c r="B101" i="16" l="1"/>
  <c r="F101" i="16" s="1"/>
  <c r="C101" i="16"/>
  <c r="C102" i="16"/>
  <c r="C107" i="16"/>
  <c r="B106" i="16"/>
  <c r="C106" i="16"/>
  <c r="B105" i="16"/>
  <c r="G105" i="16" s="1"/>
  <c r="C105" i="16"/>
  <c r="B104" i="16"/>
  <c r="F104" i="16" s="1"/>
  <c r="B102" i="16"/>
  <c r="F102" i="16" s="1"/>
  <c r="B107" i="16"/>
  <c r="F107" i="16" s="1"/>
  <c r="C104" i="16"/>
  <c r="B103" i="16"/>
  <c r="C103" i="16"/>
  <c r="G101" i="16" l="1"/>
  <c r="I101" i="16"/>
  <c r="D101" i="16"/>
  <c r="E101" i="16"/>
  <c r="D102" i="16"/>
  <c r="D107" i="16"/>
  <c r="G104" i="16"/>
  <c r="I104" i="16"/>
  <c r="D104" i="16"/>
  <c r="E104" i="16"/>
  <c r="G102" i="16"/>
  <c r="I102" i="16"/>
  <c r="C108" i="16"/>
  <c r="E102" i="16"/>
  <c r="I103" i="16"/>
  <c r="F103" i="16"/>
  <c r="G103" i="16"/>
  <c r="I105" i="16"/>
  <c r="F105" i="16"/>
  <c r="F106" i="16"/>
  <c r="G106" i="16"/>
  <c r="I106" i="16"/>
  <c r="E107" i="16"/>
  <c r="D103" i="16"/>
  <c r="E103" i="16"/>
  <c r="D105" i="16"/>
  <c r="E105" i="16"/>
  <c r="D106" i="16"/>
  <c r="E106" i="16"/>
  <c r="I107" i="16"/>
  <c r="G107" i="16"/>
  <c r="J101" i="16" l="1"/>
  <c r="K101" i="16" s="1"/>
  <c r="J104" i="16"/>
  <c r="K104" i="16" s="1"/>
  <c r="J102" i="16"/>
  <c r="K102" i="16" s="1"/>
  <c r="E108" i="16"/>
  <c r="D108" i="16"/>
  <c r="J105" i="16"/>
  <c r="K105" i="16" s="1"/>
  <c r="J103" i="16"/>
  <c r="K103" i="16" s="1"/>
  <c r="J106" i="16"/>
  <c r="K106" i="16" s="1"/>
  <c r="J107" i="16"/>
  <c r="K107" i="16" s="1"/>
  <c r="C6" i="16" l="1"/>
  <c r="K108" i="16"/>
  <c r="C7" i="16" s="1"/>
  <c r="J13" i="1" s="1"/>
  <c r="I13" i="1" l="1"/>
  <c r="I20" i="1" s="1"/>
  <c r="C8" i="16"/>
  <c r="J20" i="1"/>
  <c r="K20" i="1" l="1"/>
  <c r="I3" i="1" s="1"/>
  <c r="K1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tc={4016329B-7AC2-4469-ADED-2C69241C4B47}</author>
  </authors>
  <commentList>
    <comment ref="F4" authorId="0" shapeId="0" xr:uid="{4016329B-7AC2-4469-ADED-2C69241C4B47}">
      <text>
        <t>[Threaded comment]
Your version of Excel allows you to read this threaded comment; however, any edits to it will get removed if the file is opened in a newer version of Excel. Learn more: https://go.microsoft.com/fwlink/?linkid=870924
Comment:
    Navigation Pane:
About (Education, Abbreviations, Terms &amp; Conditions)
Dashboard (Inputs, Factors)
Calculations ( Breakdown of calc by energy product)
Reply:
    Make it possible to navigate to each section from any page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Umer Farouq</author>
    <author>Author</author>
  </authors>
  <commentList>
    <comment ref="B7" authorId="0" shapeId="0" xr:uid="{55A4B4D9-14F2-43B5-A9A1-2107334BF848}">
      <text>
        <r>
          <rPr>
            <sz val="9"/>
            <color indexed="81"/>
            <rFont val="Tahoma"/>
            <family val="2"/>
          </rPr>
          <t>Energy companies have operations across a range of categories. The PCI methodology uses the volumes of hydrocarbons handled or electricity generated by companies within each category as inputs to the calculation.</t>
        </r>
      </text>
    </comment>
    <comment ref="D7" authorId="0" shapeId="0" xr:uid="{1F442881-7514-45AD-AA75-9C1821DF6B72}">
      <text>
        <r>
          <rPr>
            <sz val="9"/>
            <color indexed="81"/>
            <rFont val="Tahoma"/>
            <family val="2"/>
          </rPr>
          <t xml:space="preserve">• Thousand barrels per day (MBBL/day)
• Million cubic feet per day (MMCF/day)
• Kilograms carbon dioxide equivalent per barrel of oil equivalent (kg CO2e/BOE)
• Thousand barrel of oil equivalent per day (MBOE/day) [NOTE: I believe there is a typo in the unit for biofuels, should be MBOE/day not MBOED/day]
• Million tons hydrogen per year (MMT H2/yr.)
• Megawatt hours per year (MWh/yr.)
• Million metric tons carbon dioxide equivalent per year (MMT CO2e/yr.)
</t>
        </r>
      </text>
    </comment>
    <comment ref="B8" authorId="0" shapeId="0" xr:uid="{BF172098-807D-4C54-9103-B9E0CA9F00E9}">
      <text>
        <r>
          <rPr>
            <sz val="9"/>
            <color indexed="81"/>
            <rFont val="Tahoma"/>
            <family val="2"/>
          </rPr>
          <t xml:space="preserve">“Oil and Gas - Upstream” includes all produced crude oil, natural gas liquids, and natural gas. Where available, a user should enter their own calculated greenhouse gas intensity associated with gas and LNG or oil for “Equity GHG Intensity”.
</t>
        </r>
      </text>
    </comment>
    <comment ref="B9" authorId="1" shapeId="0" xr:uid="{F53FFBAF-4976-47D3-845F-8A5FAB2416FC}">
      <text>
        <r>
          <rPr>
            <sz val="9"/>
            <color theme="1"/>
            <rFont val="Arial"/>
            <family val="2"/>
          </rPr>
          <t>Sources for Chevron 2022 Information: 2022 Supplement to the Annual Report
Net Crude oil production (p.16)
+ Net NGL production (p. 17)</t>
        </r>
      </text>
    </comment>
    <comment ref="B10" authorId="1" shapeId="0" xr:uid="{ABBE317B-C58C-4A56-B8E8-02F6838877A9}">
      <text>
        <r>
          <rPr>
            <sz val="9"/>
            <color indexed="81"/>
            <rFont val="Tahoma"/>
            <family val="2"/>
          </rPr>
          <t>Sources for Chevron 2022 Information: 2022 Supplement to the Annual Report 
Net natural gas production (p.19)</t>
        </r>
      </text>
    </comment>
    <comment ref="B11" authorId="1" shapeId="0" xr:uid="{4717D7F5-83B9-40C4-BB1D-0AD46785788D}">
      <text>
        <r>
          <rPr>
            <sz val="9"/>
            <color indexed="81"/>
            <rFont val="Tahoma"/>
            <family val="2"/>
          </rPr>
          <t>Sources for Chevron 2022 Information: 
2022 Supplement to the Annual Report (p.19)</t>
        </r>
      </text>
    </comment>
    <comment ref="B12" authorId="1" shapeId="0" xr:uid="{2360A337-174A-4E20-B9B7-1465ECAE01F6}">
      <text>
        <r>
          <rPr>
            <sz val="9"/>
            <color indexed="81"/>
            <rFont val="Tahoma"/>
            <family val="2"/>
          </rPr>
          <t xml:space="preserve">Sources for Chevron 2022 Information: 2022 Corporate Sustainability Report </t>
        </r>
      </text>
    </comment>
    <comment ref="B13" authorId="1" shapeId="0" xr:uid="{166E047E-3152-4780-A0EF-580BE890E983}">
      <text>
        <r>
          <rPr>
            <sz val="9"/>
            <color indexed="81"/>
            <rFont val="Tahoma"/>
            <family val="2"/>
          </rPr>
          <t>Sources for Chevron 2022 Information: 2022 Corporate Sustainability Report</t>
        </r>
      </text>
    </comment>
    <comment ref="B14" authorId="0" shapeId="0" xr:uid="{79193A57-37BE-4906-8E91-5557C6A56803}">
      <text>
        <r>
          <rPr>
            <sz val="9"/>
            <color indexed="81"/>
            <rFont val="Tahoma"/>
            <family val="2"/>
          </rPr>
          <t xml:space="preserve">“Oil and Gas - Downstream” includes produce processed in a refinery. In this case, crude input to a refinery. Where available, a user should enter their own calculated greenhouse gas intensity associated with refining for “Equity Refinery GHG Intensity”. 
</t>
        </r>
      </text>
    </comment>
    <comment ref="B15" authorId="1" shapeId="0" xr:uid="{06A34255-F5A9-4AEF-B6CB-DB7FED7F75A8}">
      <text>
        <r>
          <rPr>
            <sz val="9"/>
            <color indexed="81"/>
            <rFont val="Tahoma"/>
            <family val="2"/>
          </rPr>
          <t>Sources for Chevron 2022 Information: 
2022 Supplement to the Annual Report
Refinery capacities and crude oil inputs (p.22)</t>
        </r>
      </text>
    </comment>
    <comment ref="B16" authorId="1" shapeId="0" xr:uid="{4E309EF5-A7AA-4CCF-B8D2-42CBAFA01EBB}">
      <text>
        <r>
          <rPr>
            <sz val="9"/>
            <color indexed="81"/>
            <rFont val="Tahoma"/>
            <family val="2"/>
          </rPr>
          <t>Sources for Chevron 2022 Information: 2022 Corporate Sustainability Report</t>
        </r>
      </text>
    </comment>
    <comment ref="B17" authorId="0" shapeId="0" xr:uid="{E0C479F8-D3FA-442F-8D61-2FA575791637}">
      <text>
        <r>
          <rPr>
            <sz val="9"/>
            <color indexed="81"/>
            <rFont val="Tahoma"/>
            <family val="2"/>
          </rPr>
          <t xml:space="preserve">“Oil - Marketing” includes fuel sold to customers. A user should enter volumes per day for each fuel type. If a company does not disclose individual products, click the “i” to access an alternative calculation approach.
</t>
        </r>
      </text>
    </comment>
    <comment ref="B18" authorId="1" shapeId="0" xr:uid="{9BD19575-071D-4E00-8CBA-E05F94FCC1A3}">
      <text>
        <r>
          <rPr>
            <sz val="9"/>
            <color indexed="81"/>
            <rFont val="Tahoma"/>
            <family val="2"/>
          </rPr>
          <t>Sources for Chevron 2022 Information: 
2022 Supplement to the Annual Report 
Refined Product Sales Volumes - Worldwide
(p.24)</t>
        </r>
      </text>
    </comment>
    <comment ref="B19" authorId="1" shapeId="0" xr:uid="{D6690EB8-35A7-4212-8139-553351F7677E}">
      <text>
        <r>
          <rPr>
            <sz val="9"/>
            <color indexed="81"/>
            <rFont val="Tahoma"/>
            <family val="2"/>
          </rPr>
          <t>Sources for Chevron 2022 Information: 
2022 Supplement to the Annual Report 
Refined Product Sales Volumes - Worldwide
(p.24)</t>
        </r>
      </text>
    </comment>
    <comment ref="B20" authorId="1" shapeId="0" xr:uid="{61E14AC4-9A61-4AE8-9D5E-DD4F5FA08D35}">
      <text>
        <r>
          <rPr>
            <sz val="9"/>
            <color indexed="81"/>
            <rFont val="Tahoma"/>
            <family val="2"/>
          </rPr>
          <t>Sources for Chevron 2022 Information: 
2022 Supplement to the Annual Report 
Refined Product Sales Volumes - Worldwide
(p.24)</t>
        </r>
      </text>
    </comment>
    <comment ref="B21" authorId="1" shapeId="0" xr:uid="{E4598286-888F-40F4-A95B-46C3B213AF07}">
      <text>
        <r>
          <rPr>
            <sz val="9"/>
            <color indexed="81"/>
            <rFont val="Tahoma"/>
            <family val="2"/>
          </rPr>
          <t>Sources for Chevron 2022 Information: 
2022 Supplement to the Annual Report 
Refined Product Sales Volumes - Worldwide
(p.24)</t>
        </r>
      </text>
    </comment>
    <comment ref="B22" authorId="1" shapeId="0" xr:uid="{BA28A81D-CE9E-46B2-8426-A840C01D9962}">
      <text>
        <r>
          <rPr>
            <sz val="9"/>
            <color indexed="81"/>
            <rFont val="Tahoma"/>
            <family val="2"/>
          </rPr>
          <t>Sources for Chevron 2022 Information: 
2022 Supplement to the Annual Report 
Refined Product Sales Volumes - Worldwide
(p.24)</t>
        </r>
      </text>
    </comment>
    <comment ref="B23" authorId="0" shapeId="0" xr:uid="{A657224C-8699-4379-8689-4879A49E63EB}">
      <text>
        <r>
          <rPr>
            <sz val="9"/>
            <color indexed="81"/>
            <rFont val="Tahoma"/>
            <family val="2"/>
          </rPr>
          <t xml:space="preserve">“Gas - Marketing” includes fuel sold to customers. A user should enter volumes per day for each fuel type. </t>
        </r>
      </text>
    </comment>
    <comment ref="B24" authorId="1" shapeId="0" xr:uid="{C6CDA1CE-04CF-48CA-87F7-3E7478548CDE}">
      <text>
        <r>
          <rPr>
            <sz val="9"/>
            <color indexed="81"/>
            <rFont val="Tahoma"/>
            <family val="2"/>
          </rPr>
          <t>Sources for Chevron 2022 Information: Form 10K 
Selected Operating Data (p. 43)
U.S. Upstream, Sales of Natural Gas  
+ International Upstream Sales of Natural Gas  
+ U.S. Downstream, Sales of Natural Gas  
+ International Downstream Sales of Natural Gas</t>
        </r>
      </text>
    </comment>
    <comment ref="B25" authorId="1" shapeId="0" xr:uid="{86DB4819-76AE-4152-8343-E5256EAE2823}">
      <text>
        <r>
          <rPr>
            <sz val="9"/>
            <color indexed="81"/>
            <rFont val="Tahoma"/>
            <family val="2"/>
          </rPr>
          <t xml:space="preserve">Sources for Chevron 2022 Information: Form 10K 
Selected Operating Data (p. 43)
U.S. Upstream, Sales of Natural Gas Liquids 
+ International Upstream Sales of Natural Gas Liquids </t>
        </r>
      </text>
    </comment>
    <comment ref="B26" authorId="1" shapeId="0" xr:uid="{FA57303B-0EAE-4800-8768-7FC84978553C}">
      <text>
        <r>
          <rPr>
            <sz val="9"/>
            <color indexed="81"/>
            <rFont val="Tahoma"/>
            <family val="2"/>
          </rPr>
          <t xml:space="preserve">Sources for Chevron 2022 Information: Form 10K 
Selected Operating Data (p. 43)
U.S. Downstream Sales of Natural Gas Liquids 
+ International Downstream, Sales of Natural Gas Liquids </t>
        </r>
      </text>
    </comment>
    <comment ref="B27" authorId="1" shapeId="0" xr:uid="{24F70CED-750D-436D-BF9F-169FC166F15A}">
      <text>
        <r>
          <rPr>
            <sz val="9"/>
            <color indexed="81"/>
            <rFont val="Tahoma"/>
            <family val="2"/>
          </rPr>
          <t>Source: Not applicable.</t>
        </r>
      </text>
    </comment>
    <comment ref="B28" authorId="0" shapeId="0" xr:uid="{DA14A68B-53AD-4273-8425-7DC7B3B6DACB}">
      <text>
        <r>
          <rPr>
            <sz val="9"/>
            <color indexed="81"/>
            <rFont val="Tahoma"/>
            <family val="2"/>
          </rPr>
          <t>“Biofuels” include ethanol, renewable diesel, biodiesel, sustainable aviation fuel, and renewable natural gas. A user should a combined volume per day in barrels of oil equivalent.</t>
        </r>
      </text>
    </comment>
    <comment ref="B29" authorId="1" shapeId="0" xr:uid="{E1D5E4F3-D399-4E16-ABA6-AD3C9CB6F811}">
      <text>
        <r>
          <rPr>
            <sz val="9"/>
            <color indexed="81"/>
            <rFont val="Tahoma"/>
            <family val="2"/>
          </rPr>
          <t>Sources for Chevron 2021 Information: Internal Analysis  by Chevron, see footnote in Climate Change Resilience Report</t>
        </r>
      </text>
    </comment>
    <comment ref="B30" authorId="0" shapeId="0" xr:uid="{91ABEDA5-9436-4F81-8958-176AD476610C}">
      <text>
        <r>
          <rPr>
            <sz val="9"/>
            <color indexed="81"/>
            <rFont val="Tahoma"/>
            <family val="2"/>
          </rPr>
          <t xml:space="preserve">“Hydrogen” includes fuel sold to customers. A user should enter million metric tons of hydrogen sold per year for each fuel type. Gray hydrogen is produced through steam reformation of natural gas. Blue hydrogen is produced through steam reformation of natural gas and the resulting carbon dioxide is captured and stored. Green hydrogen is produced through electrolysis using renewable energy.
</t>
        </r>
      </text>
    </comment>
    <comment ref="B31" authorId="1" shapeId="0" xr:uid="{6BDDF481-BFED-4735-92E4-C20A878B73D8}">
      <text>
        <r>
          <rPr>
            <sz val="9"/>
            <color indexed="81"/>
            <rFont val="Tahoma"/>
            <family val="2"/>
          </rPr>
          <t>Source: Not applicable.</t>
        </r>
      </text>
    </comment>
    <comment ref="B32" authorId="1" shapeId="0" xr:uid="{2D744223-3BE2-4B5A-9AD5-222492B1303F}">
      <text>
        <r>
          <rPr>
            <sz val="9"/>
            <color indexed="81"/>
            <rFont val="Tahoma"/>
            <family val="2"/>
          </rPr>
          <t>Source: Not applicable.</t>
        </r>
      </text>
    </comment>
    <comment ref="B33" authorId="1" shapeId="0" xr:uid="{1D9DB3E7-C7CC-4014-9DFE-56F9D2D43237}">
      <text>
        <r>
          <rPr>
            <sz val="9"/>
            <color indexed="81"/>
            <rFont val="Tahoma"/>
            <family val="2"/>
          </rPr>
          <t>Source: Not applicable.</t>
        </r>
      </text>
    </comment>
    <comment ref="B34" authorId="0" shapeId="0" xr:uid="{9E0B53EF-D7A0-4E18-8C47-8DAD7BC01519}">
      <text>
        <r>
          <rPr>
            <sz val="9"/>
            <color indexed="81"/>
            <rFont val="Tahoma"/>
            <family val="2"/>
          </rPr>
          <t xml:space="preserve">“Lower Carbon Power” includes renewable energy sources used to generate electricity. A user should enter electricity generated per year.
</t>
        </r>
      </text>
    </comment>
    <comment ref="B35" authorId="1" shapeId="0" xr:uid="{2501CA10-C391-40DC-B368-069BCD7A5859}">
      <text>
        <r>
          <rPr>
            <sz val="9"/>
            <color indexed="81"/>
            <rFont val="Tahoma"/>
            <family val="2"/>
          </rPr>
          <t>Sources for Chevron 2022 Information: Internal Analysis by Chevron, EIA data in Form 923 for Casper Wind Farm not available at time of publication.</t>
        </r>
      </text>
    </comment>
    <comment ref="B36" authorId="1" shapeId="0" xr:uid="{12CE84B3-C2B2-4CD2-9356-53AF4E7C2A1F}">
      <text>
        <r>
          <rPr>
            <sz val="9"/>
            <color indexed="81"/>
            <rFont val="Tahoma"/>
            <family val="2"/>
          </rPr>
          <t>Sources for Chevron 2022 Information: Internal Analysis by Chevron, EIA data in Form 923 for Questa Solar Facility not available at time of publication.</t>
        </r>
      </text>
    </comment>
    <comment ref="B37" authorId="1" shapeId="0" xr:uid="{99D0A742-7A7B-4EC2-9062-A9781D9FE755}">
      <text>
        <r>
          <rPr>
            <sz val="9"/>
            <color indexed="81"/>
            <rFont val="Tahoma"/>
            <family val="2"/>
          </rPr>
          <t>Source: Not applicable.</t>
        </r>
      </text>
    </comment>
    <comment ref="B38" authorId="0" shapeId="0" xr:uid="{7BFF3E53-9E24-4E37-8567-FF802D44DD08}">
      <text>
        <r>
          <rPr>
            <sz val="9"/>
            <color indexed="81"/>
            <rFont val="Tahoma"/>
            <family val="2"/>
          </rPr>
          <t xml:space="preserve">“Carbon Sinks” are projects that store or offset carbon dioxide emissions. A user can enter total annual project volumes.
</t>
        </r>
      </text>
    </comment>
    <comment ref="B39" authorId="1" shapeId="0" xr:uid="{52E468DC-B2E0-469D-A932-3C10B3709278}">
      <text>
        <r>
          <rPr>
            <sz val="9"/>
            <color indexed="81"/>
            <rFont val="Tahoma"/>
            <family val="2"/>
          </rPr>
          <t xml:space="preserve">CCUS = Carbon Capture, Utilization, and Storage
Source: Not applicable.
</t>
        </r>
      </text>
    </comment>
    <comment ref="B40" authorId="1" shapeId="0" xr:uid="{F37A4D60-23D0-43B9-A6BE-872897EC1C2D}">
      <text>
        <r>
          <rPr>
            <sz val="9"/>
            <color indexed="81"/>
            <rFont val="Tahoma"/>
            <family val="2"/>
          </rPr>
          <t>Sources for Chevron 2022 Information: 2022 Corporate Sustainability Report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Aisha</author>
    <author>Hasenkampf, Madi</author>
    <author>Pettie, Liz</author>
  </authors>
  <commentList>
    <comment ref="B5" authorId="0" shapeId="0" xr:uid="{C520B21E-4241-4131-834F-3377059343CA}">
      <text>
        <r>
          <rPr>
            <b/>
            <u/>
            <sz val="9"/>
            <color indexed="81"/>
            <rFont val="Tahoma"/>
            <family val="2"/>
          </rPr>
          <t>Abbreviations</t>
        </r>
        <r>
          <rPr>
            <b/>
            <sz val="9"/>
            <color indexed="81"/>
            <rFont val="Tahoma"/>
            <family val="2"/>
          </rPr>
          <t xml:space="preserve">
</t>
        </r>
        <r>
          <rPr>
            <sz val="9"/>
            <color indexed="81"/>
            <rFont val="Tahoma"/>
            <family val="2"/>
          </rPr>
          <t>API - American Petroleum Institute
BBL - barrel
BOE - barrel oil equivalent
BTU - British thermal units
CARB - California Air Resources Board
CCUS - carbon capture, utilization, and storage
EIA - Energy Information Administration (United States)
gCO2e - gram carbon dioxide equivalents
GHG - greenhouse gas
GREET - Greenhouse gases, Regulated Emissions, and Energy use in Technologies is a full life-cycle model sponsored by the Argonne National Laboratory
HHV - Higher heating value
IEA - International Energy Agency
kg H2 - kilogram hydrogen
kgCO2e - kilogram carbon dioxide equivalents
km - kilometers
kWh - kilowatt-hour
lb - pound
LCFS - Low Carbon Fuel Standard
LHV - lower heating value
LNG - liquified natural gas
MBBL - thousand barrels
MBOE - thousand barrel oil equivalent
MJ - megajoule
MMBTU - million British thermal units
MMCF - million cubic feet
MMT H2 - million metric ton hydrogen delivered
MMTCO2e - million metric ton carbon dioxide equivalents
MMTJ - million terajoule
MCF - thousand cubic feet
MWh - megawatt-hour
NGL - natural gas liquids
NREL - National Renewable Energy Laboratory
PCI - portfolio carbon intensity
RNG - Renewable Natural Gas
SAF - Sustainable Aviation Fuel
SMR - steam methane reforming
tCO2e - metric ton carbon dioxide equivalents
TJ - terajoule
WEO - World Energy Outlook
Yr - year</t>
        </r>
      </text>
    </comment>
    <comment ref="C73" authorId="1" shapeId="0" xr:uid="{2D926B2D-78C7-48E9-8EDC-DD90CB19EDE5}">
      <text>
        <r>
          <rPr>
            <sz val="11"/>
            <color indexed="81"/>
            <rFont val="Calibri"/>
            <family val="2"/>
            <scheme val="minor"/>
          </rPr>
          <t>In API Compendium (2021), Table 4-3 uses Motor Gasoline (Petrol) and Table 3-8 and Table 4-6 use Motor Gasoline</t>
        </r>
      </text>
    </comment>
    <comment ref="C74" authorId="1" shapeId="0" xr:uid="{0EC096F4-BEF3-469A-BBEF-469D450B7CE2}">
      <text>
        <r>
          <rPr>
            <sz val="11"/>
            <color indexed="81"/>
            <rFont val="Calibri"/>
            <family val="2"/>
            <scheme val="minor"/>
          </rPr>
          <t>In API Compendium (2021), Table 3-8 uses Distillate Oil (Diesel), Table 4-3 uses Gas/Diesel Oil, and Table 4-6 uses Other Oil (&gt;401 deg F)</t>
        </r>
      </text>
    </comment>
    <comment ref="C75" authorId="1" shapeId="0" xr:uid="{6A0D71B2-9A92-42C9-B4A4-D85F68A41A65}">
      <text>
        <r>
          <rPr>
            <sz val="11"/>
            <color indexed="81"/>
            <rFont val="Calibri"/>
            <family val="2"/>
            <scheme val="minor"/>
          </rPr>
          <t>In API Compendium (2021), Table 3-8 and Table 4-3 use Jet Fuel and Table 4-6 uses Jet Gasoline</t>
        </r>
      </text>
    </comment>
    <comment ref="C76" authorId="1" shapeId="0" xr:uid="{887B38D8-1D14-43E8-9A41-D827661B4D57}">
      <text>
        <r>
          <rPr>
            <sz val="11"/>
            <color indexed="81"/>
            <rFont val="Calibri"/>
            <family val="2"/>
            <scheme val="minor"/>
          </rPr>
          <t>In API Compendium (2021), Table 3-8 and Table 4-3 uses Residual Oil #6 and Table 4-6 uses Residual Fuel Oil</t>
        </r>
      </text>
    </comment>
    <comment ref="C77" authorId="2" shapeId="0" xr:uid="{4F9645FB-A8CD-402C-B221-2A4919806E28}">
      <text>
        <r>
          <rPr>
            <sz val="11"/>
            <color theme="1"/>
            <rFont val="Calibri"/>
            <family val="2"/>
            <scheme val="minor"/>
          </rPr>
          <t>In API Compendium (2021), Table 3-8 and Table 4-3 use Miscellaneous Product and Table 4-6 uses Other Oil (&gt;401 deg 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Aisha</author>
  </authors>
  <commentList>
    <comment ref="B3" authorId="0" shapeId="0" xr:uid="{2AFB9F5A-3016-44CE-8DD8-D3D36E0168EC}">
      <text>
        <r>
          <rPr>
            <sz val="11"/>
            <color theme="1"/>
            <rFont val="Calibri"/>
            <family val="2"/>
            <scheme val="minor"/>
          </rPr>
          <t>Abbreviations
API - American Petroleum Institute
BBL - barrel
BOE - barrel oil equivalent
BTU - British thermal units
CARB - California Air Resources Board
CCUS - carbon capture, utilization, and storage
EIA - Energy Information Administration (United States)
gCO2e - gram carbon dioxide equivalents
GHG - greenhouse gas
GREET - Greenhouse gases, Regulated Emissions, and Energy use in Technologies is a full life-cycle model developed by the Argonne National Laboratory
HHV - Higher heating value
IEA - International Energy Agency
kg H2 - kilogram hydrogen
kgCO2e - kilogram carbon dioxide equivalents
km - kilometers
kWh - kilowatt-hour
lb - pound
LCFS - Low Carbon Fuel Standard
LHV - lower heating value
LNG - liquified natural gas
MBBL - thousand barrels
MBOE - thousand barrel oil equivalent
MJ - megajoule
MMBTU - million British thermal units
MMCF - million cubic feet
MMT H2 - million metric ton hydrogen delivered
MMTCO2e - million metric ton carbon dioxide equivalents
MMTJ - million terajoule
MCF - thousand cubic feet
MWh - megawatt-hour
NGL - natural gas liquids
NREL - National Renewable Energy Laboratory
PCI - portfolio carbon intensity
RNG - Renewable Natural Gas
SAF - Sustainable Aviation Fuel
SMR - steam methane reforming
tCO2e - metric ton carbon dioxide equivalents
TJ - terajoule
WEO - World Energy Outlook
Yr - year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Aisha</author>
  </authors>
  <commentList>
    <comment ref="B3" authorId="0" shapeId="0" xr:uid="{2B797594-34E1-43A1-AFB3-2F9C866DB900}">
      <text>
        <r>
          <rPr>
            <sz val="11"/>
            <color theme="1"/>
            <rFont val="Calibri"/>
            <family val="2"/>
            <scheme val="minor"/>
          </rPr>
          <t>Abbreviations
API - American Petroleum Institute
BBL - barrel
BOE - barrel oil equivalent
BTU - British thermal units
CARB - California Air Resources Board
CCUS - carbon capture, utilization, and storage
EIA - Energy Information Administration (United States)
gCO2e - gram carbon dioxide equivalents
GHG - greenhouse gas
GREET - Greenhouse gases, Regulated Emissions, and Energy use in Technologies is a full life-cycle model developed by the Argonne National Laboratory
HHV - Higher heating value
IEA - International Energy Agency
kg H2 - kilogram hydrogen
kgCO2e - kilogram carbon dioxide equivalents
km - kilometers
kWh - kilowatt-hour
lb - pound
LCFS - Low Carbon Fuel Standard
LHV - lower heating value
LNG - liquified natural gas
MBBL - thousand barrels
MBOE - thousand barrel oil equivalent
MJ - megajoule
MMBTU - million British thermal units
MMCF - million cubic feet
MMT H2 - million metric ton hydrogen delivered
MMTCO2e - million metric ton carbon dioxide equivalents
MMTJ - million terajoule
MCF - thousand cubic feet
MWh - megawatt-hour
NGL - natural gas liquids
NREL - National Renewable Energy Laboratory
PCI - portfolio carbon intensity
RNG - Renewable Natural Gas
SAF - Sustainable Aviation Fuel
SMR - steam methane reforming
tCO2e - metric ton carbon dioxide equivalents
TJ - terajoule
WEO - World Energy Outlook
Yr - year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Aisha</author>
  </authors>
  <commentList>
    <comment ref="B3" authorId="0" shapeId="0" xr:uid="{BB71CD69-68CD-4A69-BDB0-6776354FE7A0}">
      <text>
        <r>
          <rPr>
            <sz val="11"/>
            <color theme="1"/>
            <rFont val="Calibri"/>
            <family val="2"/>
            <scheme val="minor"/>
          </rPr>
          <t>Abbreviations
API - American Petroleum Institute
BBL - barrel
BOE - barrel oil equivalent
BTU - British thermal units
CARB - California Air Resources Board
CCUS - carbon capture, utilization, and storage
EIA - Energy Information Administration (United States)
gCO2e - gram carbon dioxide equivalents
GHG - greenhouse gas
GREET - Greenhouse gases, Regulated Emissions, and Energy use in Technologies is a full life-cycle model developed by the Argonne National Laboratory
HHV - Higher heating value
IEA - International Energy Agency
kg H2 - kilogram hydrogen
kgCO2e - kilogram carbon dioxide equivalents
km - kilometers
kWh - kilowatt-hour
lb - pound
LCFS - Low Carbon Fuel Standard
LHV - lower heating value
LNG - liquified natural gas
MBBL - thousand barrels
MBOE - thousand barrel oil equivalent
MJ - megajoule
MMBTU - million British thermal units
MMCF - million cubic feet
MMT H2 - million metric ton hydrogen delivered
MMTCO2e - million metric ton carbon dioxide equivalents
MMTJ - million terajoule
MCF - thousand cubic feet
MWh - megawatt-hour
NGL - natural gas liquids
NREL - National Renewable Energy Laboratory
PCI - portfolio carbon intensity
RNG - Renewable Natural Gas
SAF - Sustainable Aviation Fuel
SMR - steam methane reforming
tCO2e - metric ton carbon dioxide equivalents
TJ - terajoule
WEO - World Energy Outlook
Yr - year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Aisha</author>
  </authors>
  <commentList>
    <comment ref="B3" authorId="0" shapeId="0" xr:uid="{067CE347-9EE1-4230-AF1B-0D4ABE3E1371}">
      <text>
        <r>
          <rPr>
            <sz val="11"/>
            <color theme="1"/>
            <rFont val="Calibri"/>
            <family val="2"/>
            <scheme val="minor"/>
          </rPr>
          <t>Abbreviations
API - American Petroleum Institute
BBL - barrel
BOE - barrel oil equivalent
BTU - British thermal units
CARB - California Air Resources Board
CCUS - carbon capture, utilization, and storage
EIA - Energy Information Administration (United States)
gCO2e - gram carbon dioxide equivalents
GHG - greenhouse gas
GREET - Greenhouse gases, Regulated Emissions, and Energy use in Technologies is a full life-cycle model developed by the Argonne National Laboratory
HHV - Higher heating value
IEA - International Energy Agency
kg H2 - kilogram hydrogen
kgCO2e - kilogram carbon dioxide equivalents
km - kilometers
kWh - kilowatt-hour
lb - pound
LCFS - Low Carbon Fuel Standard
LHV - lower heating value
LNG - liquified natural gas
MBBL - thousand barrels
MBOE - thousand barrel oil equivalent
MJ - megajoule
MMBTU - million British thermal units
MMCF - million cubic feet
MMT H2 - million metric ton hydrogen delivered
MMTCO2e - million metric ton carbon dioxide equivalents
MMTJ - million terajoule
MCF - thousand cubic feet
MWh - megawatt-hour
NGL - natural gas liquids
NREL - National Renewable Energy Laboratory
PCI - portfolio carbon intensity
RNG - Renewable Natural Gas
SAF - Sustainable Aviation Fuel
SMR - steam methane reforming
tCO2e - metric ton carbon dioxide equivalents
TJ - terajoule
WEO - World Energy Outlook
Yr - year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Aisha</author>
  </authors>
  <commentList>
    <comment ref="B3" authorId="0" shapeId="0" xr:uid="{4CD422D6-EFFC-41B6-A901-05D5CB338171}">
      <text>
        <r>
          <rPr>
            <sz val="11"/>
            <color theme="1"/>
            <rFont val="Calibri"/>
            <family val="2"/>
            <scheme val="minor"/>
          </rPr>
          <t>Abbreviations
API - American Petroleum Institute
BBL - barrel
BOE - barrel oil equivalent
BTU - British thermal units
CARB - California Air Resources Board
CCUS - carbon capture, utilization, and storage
EIA - Energy Information Administration (United States)
gCO2e - gram carbon dioxide equivalents
GHG - greenhouse gas
GREET - Greenhouse gases, Regulated Emissions, and Energy use in Technologies is a full life-cycle model developed by the Argonne National Laboratory
HHV - Higher heating value
IEA - International Energy Agency
kg H2 - kilogram hydrogen
kgCO2e - kilogram carbon dioxide equivalents
km - kilometers
kWh - kilowatt-hour
lb - pound
LCFS - Low Carbon Fuel Standard
LHV - lower heating value
LNG - liquified natural gas
MBBL - thousand barrels
MBOE - thousand barrel oil equivalent
MJ - megajoule
MMBTU - million British thermal units
MMCF - million cubic feet
MMT H2 - million metric ton hydrogen delivered
MMTCO2e - million metric ton carbon dioxide equivalents
MMTJ - million terajoule
MCF - thousand cubic feet
MWh - megawatt-hour
NGL - natural gas liquids
NREL - National Renewable Energy Laboratory
PCI - portfolio carbon intensity
RNG - Renewable Natural Gas
SAF - Sustainable Aviation Fuel
SMR - steam methane reforming
tCO2e - metric ton carbon dioxide equivalents
TJ - terajoule
WEO - World Energy Outlook
Yr - year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Aisha</author>
  </authors>
  <commentList>
    <comment ref="B3" authorId="0" shapeId="0" xr:uid="{5AF7A982-9855-4FF6-8AFB-03E414BC6378}">
      <text>
        <r>
          <rPr>
            <sz val="11"/>
            <color theme="1"/>
            <rFont val="Calibri"/>
            <family val="2"/>
            <scheme val="minor"/>
          </rPr>
          <t>Abbreviations
API - American Petroleum Institute
BBL - barrel
BOE - barrel oil equivalent
BTU - British thermal units
CARB - California Air Resources Board
CCUS - carbon capture, utilization, and storage
EIA - Energy Information Administration (United States)
gCO2e - gram carbon dioxide equivalents
GHG - greenhouse gas
GREET - Greenhouse gases, Regulated Emissions, and Energy use in Technologies is a full life-cycle model developed by the Argonne National Laboratory
HHV - Higher heating value
IEA - International Energy Agency
kg H2 - kilogram hydrogen
kgCO2e - kilogram carbon dioxide equivalents
km - kilometers
kWh - kilowatt-hour
lb - pound
LCFS - Low Carbon Fuel Standard
LHV - lower heating value
LNG - liquified natural gas
MBBL - thousand barrels
MBOE - thousand barrel oil equivalent
MJ - megajoule
MMBTU - million British thermal units
MMCF - million cubic feet
MMT H2 - million metric ton hydrogen delivered
MMTCO2e - million metric ton carbon dioxide equivalents
MMTJ - million terajoule
MCF - thousand cubic feet
MWh - megawatt-hour
NGL - natural gas liquids
NREL - National Renewable Energy Laboratory
PCI - portfolio carbon intensity
RNG - Renewable Natural Gas
SAF - Sustainable Aviation Fuel
SMR - steam methane reforming
tCO2e - metric ton carbon dioxide equivalents
TJ - terajoule
WEO - World Energy Outlook
Yr - year</t>
        </r>
      </text>
    </comment>
  </commentList>
</comments>
</file>

<file path=xl/sharedStrings.xml><?xml version="1.0" encoding="utf-8"?>
<sst xmlns="http://schemas.openxmlformats.org/spreadsheetml/2006/main" count="857" uniqueCount="537">
  <si>
    <t>Version 4</t>
  </si>
  <si>
    <t>Source (Temporary)</t>
  </si>
  <si>
    <t>https://impactful.ninja/why-reducing-your-carbon-footprint-is-important/#:~:text=depends%20on%20it.-,Reducing%20your%20carbon%20footprint%20is%20important%20because%20it%20mitigates%20the,for%20generations%20yet%20to%20come.</t>
  </si>
  <si>
    <t>https://www.chevron.com/-/media/chevron/sustainability/documents/2021-climate-change-resilience-report.pdf</t>
  </si>
  <si>
    <t xml:space="preserve">The portfolio carbon intensity methodology is designed to facilitate carbon-intensity accounting of a company’s portfolio. 
It uses a representative value chain that includes emissions associated with bringing products to market, including Scope 3 
emissions from the use of our products. For Chevron, the volume of emissions produced by users of its products is larger 
than our volume of emissions associated with either Upstream production or Downstream refining. The PCI methodology 
facilitates transparency and replicability in calculations and data with information taken from financial statements and 
emissions disclosures. This approach enables comparison of companies that may participate in different parts of the value 
chain and the use of real data when possible. Adopting a portfolio carbon intensity methodology provides Chevron the 
flexibility to grow its Upstream and Downstream businesses provided it remains an increasingly carbon-efficient operator. </t>
  </si>
  <si>
    <t>Education</t>
  </si>
  <si>
    <t>The portfolio carbon intensity (PCI) methodology is designed to facilitate carbon-intensity accounting of a company’s portfolio. It uses a representative value chain that includes emissions associated with bringing products to market, including Scope 3 emissions from the use of products. The PCI methodology facilitates transparency and replicability in calculations and data with information taken from financial statements and emissions disclosures. This approach enables comparison of companies that may participate in different parts of the value chain and the use of real data when possible.</t>
  </si>
  <si>
    <t>* Removals that reduce Scope 1 and 2 emissions would reduce the production, refining, or other sectoral intensity and would not be double-counted as removals</t>
  </si>
  <si>
    <t xml:space="preserve">** The PCI methodology provides a framework for transparent and consistent comparisons of the mix of energy products provided by a company, inclusive of </t>
  </si>
  <si>
    <t xml:space="preserve">   elements of Scope 1, 2, and 3 emissions. The methodology is broadly applicable to oil and gas companies involved in exploration and production, refining,</t>
  </si>
  <si>
    <t xml:space="preserve">   or marketing activities.</t>
  </si>
  <si>
    <t>Frequently Asked Questions</t>
  </si>
  <si>
    <t>Topic / Category</t>
  </si>
  <si>
    <t>Q&amp;A</t>
  </si>
  <si>
    <t>Scope</t>
  </si>
  <si>
    <t>What is the PCI?</t>
  </si>
  <si>
    <t>Chevron's portfolio carbon intensity (PCI) metric represents carbon intensity across the full value chain associated with bringing energy products to market and includes Scope 3 emissions from the use of products. The calculation includes estimated energy weighted average greenhouse gas (GHG) emissions intensity from a simplified value chain from the production, refinement, distribution and end use of marketed energy products per unit of energy delivered.</t>
  </si>
  <si>
    <t xml:space="preserve">What emissions are included? </t>
  </si>
  <si>
    <t xml:space="preserve">The PCI metric includes Scope 1, 2 and 3 greenhouse gas (GHG) emissions, including Scope 3 emissions based on Category 11 - Use of Sold Products.
Scope 1 includes direct GHG emissions from assets owned and/or operated by the reporting company. Scope 2 includes indirect GHG emissions from imported electricity, heat or steam purchased by the reporting company. Scope 3 includes other indirect emissions from activities outside the Scope 1 and 2 reporting boundaries. The Portfolio Carbon Intensity metric includes emissions associated with customers’ use of the products sold by the reporting company (Scope 3 Category 11). </t>
  </si>
  <si>
    <t>What does "across the full value chain" mean?</t>
  </si>
  <si>
    <t>The PCI metric intends to estimate value chain emissions associated with the maximum hydrocarbon product volume of a company among its production, transportation, refining, and marketing activities. This approach allows for the metric to be broadly applicable to oil and gas companies involved in one or more of these activities and provides a framework for transparent and consistent comparisons of companies that may participate in different parts of the value chain or have different mixes of energy products. 
For all products that a company produces or refines, the PCI methodology uses the company’s equity GHG emissions and corresponding GHG intensity. To estimate the emissions for marketed products that the company does not produce or refine, the PCI methodology uses estimated industry-average segment factors or emission factors.</t>
  </si>
  <si>
    <t>Does the PCI cover all of Chevron's operations?</t>
  </si>
  <si>
    <t xml:space="preserve">The PCI reflects gas, natural gas liquid (NGL), oil, biofuel, hydrogen and lower carbon power products. Carbon removals are deducted from total lifecycle emissions estimates. Traded volumes are reflected in the Oil and Refined Products sections. Chemicals and other business lines that do not primarily supply energy products are excluded from this calculation. </t>
  </si>
  <si>
    <t>Methodology</t>
  </si>
  <si>
    <t>Why does Chevron use an intensity measure instead of an absolute emissions measure?</t>
  </si>
  <si>
    <t>Chevron has chosen an intensity measure for PCI, which scales to production, to allow flexibility to grow our traditional business, provided it remains increasingly carbon-efficient, and pursue growth in lower-carbon businesses. Compared to absolute measures, intensity measures have the advantage of allowing carbon efficiency comparisons across companies and assets, regardless of relative size.</t>
  </si>
  <si>
    <t>How are biofuels included?</t>
  </si>
  <si>
    <t xml:space="preserve">Chevron's biofuel volumes are based on purchase data for ethanol, renewable diesel, and biodiesel, and production volumes for biodiesel, renewable diesel and renewable natural gas. </t>
  </si>
  <si>
    <t>How are offsets included?</t>
  </si>
  <si>
    <t>Offsets that are retired by Chevron or on behalf of customers for the use of our products are deducted from the total emissions in the metric. Includes offsets retired in compliance programs. For programs with multiyear compliance periods, offsets are reported in the calendar year they are retired.</t>
  </si>
  <si>
    <t>Where do the conversion factors for emissions and energy content come from?</t>
  </si>
  <si>
    <t>Conversion factors for energy content and emissions factors come from our internal analysis of our own production and biofuels purchases, industry reports, governmental research centers, and intergovernmental organizations. See the Factors tab for additional details.</t>
  </si>
  <si>
    <t>What are LHV vs HHV? And why does Chevron use HHV for the PCI calculation?</t>
  </si>
  <si>
    <t>Heating value describes the quantity of energy released when a fuel is completely combusted. Higher heating value (HHV) is equal to the lower heating value (LHV) plus the energy required to evaporate any water contained within the fuel. HHV is always larger than LHV. Chevron uses HHV in conjunction with the API GHG Compendium, which presents HHV as the preferred convention when converting between fuel volume and energy and is also aligned with commercial contracts.</t>
  </si>
  <si>
    <t>How often is the PCI updated?</t>
  </si>
  <si>
    <t xml:space="preserve">Chevron's PCI metric is published annually as part of the Performance Data Tables in Chevron's Sustainability Report. </t>
  </si>
  <si>
    <t>Methodologies and emissions factors are updated periodically to reflect additional information or data that become available. For example, updates may include updated industry averages, primary data from third party producers/refiners and adjustments to energy efficiency assumptions, if warranted, based on the end-use applications for volumes of energy marketed by the company.</t>
  </si>
  <si>
    <t>Assurance</t>
  </si>
  <si>
    <t>Are the calculation and/or GHG emissions inventories externally verified?</t>
  </si>
  <si>
    <t>Yes, Chevron has received independent third-party assurance for our 2022 GHG emissions from Scope 1, Scope 2, and Scope 3 (Category 11 - Use of Sold Products) on an equity share and operational control basis, and for various performance metrics, including the PCI specifically. The verification was conducted by DNV Business Assurance USA, Inc. (DNV), an international, independent assurance and risk management provider, to a reasonable level of assurance for the 2022 reporting year. The verification protocol utilized Chevron’s GHG Reporting Protocol, v7.0 which takes into consideration key elements of the following: International Organization for Standardization’s (ISO) “ISO 14064-1, Greenhouse gases – Part 1: Specification with guidance at the organization level for quantification and reporting of greenhouse gas emissions and removals – Second edition” (2018); IPIECA’s “Petroleum industry guidelines for reporting greenhouse gas emissions – Second edition” (2011); World Business Council for Sustainable Development’s (WBCSD)/World Resources Institute’s (WRI) “The Greenhouse Gas Protocol, A corporate accounting and reporting standard - Revised edition” (2004); and WRI’s “GHG Protocol Scope 2 Guidance, An amendment to the GHG Protocol corporate standard” (2015).</t>
  </si>
  <si>
    <t>Click to link to Chevron's latest GHG Assurance Statement</t>
  </si>
  <si>
    <t>User Guide</t>
  </si>
  <si>
    <t>Basic Instructions</t>
  </si>
  <si>
    <t>Users should input annual volume and emission intensity information for a company in the yellow cells on the "Dashboard" tab.</t>
  </si>
  <si>
    <t>Tabs colored black are addition background information about the model.</t>
  </si>
  <si>
    <t>Blue tab summarizes the result calculations for the Portfolio Carbon Intensity (PCI).</t>
  </si>
  <si>
    <t>Green tabs are the calculation tabs that outline the calculation methods for categories of energy delivered.</t>
  </si>
  <si>
    <t>Advanced Instructions</t>
  </si>
  <si>
    <t xml:space="preserve">Users that wish to use custom (non-default) factors would need to deselect the box in the "Factors" tab and edit columns F and G and rows 83 to 87 for custom factors and sources. </t>
  </si>
  <si>
    <t xml:space="preserve">If corporate disclosure only includes total refined products, or if operator does not market refined products, the "Refined Products - Alt Calc" tab provides the ability to estimate breakdown of refined products. </t>
  </si>
  <si>
    <t>Improvements over time</t>
  </si>
  <si>
    <t xml:space="preserve">Methodologies and emissions factors may be updated in future years to reflect additional information or data that become available. </t>
  </si>
  <si>
    <t>For example, updates may include updated industry averages, primary data from third party producers/refiners and adjustments to energy efficiency assumptions,</t>
  </si>
  <si>
    <t>if warranted, based on the end-use applications for volumes of energy marketed by the company.</t>
  </si>
  <si>
    <t xml:space="preserve">Version </t>
  </si>
  <si>
    <t>Version Date</t>
  </si>
  <si>
    <t>Version Notes</t>
  </si>
  <si>
    <t>V1.0</t>
  </si>
  <si>
    <t xml:space="preserve">Initial release </t>
  </si>
  <si>
    <t>V2.0</t>
  </si>
  <si>
    <t>Version 2.0 incorporates updates to emission factors for 1 item and updates to support portfolio carbon intensity calculation for a wider range of energy companies.</t>
  </si>
  <si>
    <t>V3.0</t>
  </si>
  <si>
    <r>
      <rPr>
        <sz val="10"/>
        <color rgb="FF000000"/>
        <rFont val="Arial"/>
      </rPr>
      <t xml:space="preserve">Version 3.0 incorporates updates to conversion factors, reflecting updates in external publications, and select other items. V3.0 was used to calculate Chevron's 2022 PCI value, included in our 2022 reasonable assurance statement and published in the 2022 </t>
    </r>
    <r>
      <rPr>
        <i/>
        <sz val="10"/>
        <color rgb="FF000000"/>
        <rFont val="Arial"/>
      </rPr>
      <t>Corporate Sustainability Report</t>
    </r>
    <r>
      <rPr>
        <sz val="10"/>
        <color rgb="FF000000"/>
        <rFont val="Arial"/>
      </rPr>
      <t>.</t>
    </r>
  </si>
  <si>
    <t>V4.0</t>
  </si>
  <si>
    <t xml:space="preserve">Version 4.0 incorporates updates to conversion factors, reflecting updates in external publications, and select other items. </t>
  </si>
  <si>
    <t>Abbreviations</t>
  </si>
  <si>
    <t>Abbreviation</t>
  </si>
  <si>
    <t>Description</t>
  </si>
  <si>
    <t>API</t>
  </si>
  <si>
    <t>American Petroleum Institute</t>
  </si>
  <si>
    <t>BBL</t>
  </si>
  <si>
    <t>barrel</t>
  </si>
  <si>
    <t>BOE</t>
  </si>
  <si>
    <t>barrel oil equivalent</t>
  </si>
  <si>
    <t>BTU</t>
  </si>
  <si>
    <t>British thermal units</t>
  </si>
  <si>
    <t>CARB</t>
  </si>
  <si>
    <t>California Air Resources Board</t>
  </si>
  <si>
    <t>CCUS</t>
  </si>
  <si>
    <t>carbon capture, utilization, and storage</t>
  </si>
  <si>
    <t>EIA</t>
  </si>
  <si>
    <t>Energy Information Administration (United States)</t>
  </si>
  <si>
    <r>
      <t>gCO</t>
    </r>
    <r>
      <rPr>
        <vertAlign val="subscript"/>
        <sz val="10"/>
        <color theme="1"/>
        <rFont val="Arial"/>
        <family val="2"/>
      </rPr>
      <t>2</t>
    </r>
    <r>
      <rPr>
        <sz val="10"/>
        <color theme="1"/>
        <rFont val="Arial"/>
        <family val="2"/>
      </rPr>
      <t>e</t>
    </r>
  </si>
  <si>
    <t>gram carbon dioxide equivalents</t>
  </si>
  <si>
    <t>GHG</t>
  </si>
  <si>
    <t>greenhouse gas</t>
  </si>
  <si>
    <t>GREET</t>
  </si>
  <si>
    <t>Greenhouse gases, Regulated Emissions, and Energy use in Technologies is a full life-cycle model developed by the Argonne National Laboratory</t>
  </si>
  <si>
    <t>HHV</t>
  </si>
  <si>
    <t>Higher heating value</t>
  </si>
  <si>
    <t>IEA</t>
  </si>
  <si>
    <t>International Energy Agency</t>
  </si>
  <si>
    <r>
      <t>kg H</t>
    </r>
    <r>
      <rPr>
        <vertAlign val="subscript"/>
        <sz val="10"/>
        <color theme="1"/>
        <rFont val="Arial"/>
        <family val="2"/>
      </rPr>
      <t>2</t>
    </r>
  </si>
  <si>
    <t>kilogram hydrogen</t>
  </si>
  <si>
    <r>
      <t>kgCO</t>
    </r>
    <r>
      <rPr>
        <vertAlign val="subscript"/>
        <sz val="10"/>
        <color theme="1"/>
        <rFont val="Arial"/>
        <family val="2"/>
      </rPr>
      <t>2</t>
    </r>
    <r>
      <rPr>
        <sz val="10"/>
        <color theme="1"/>
        <rFont val="Arial"/>
        <family val="2"/>
      </rPr>
      <t>e</t>
    </r>
  </si>
  <si>
    <t>kilogram carbon dioxide equivalents</t>
  </si>
  <si>
    <t>km</t>
  </si>
  <si>
    <t>kilometers</t>
  </si>
  <si>
    <t>kWh</t>
  </si>
  <si>
    <t>kilowatt-hour</t>
  </si>
  <si>
    <t>lb</t>
  </si>
  <si>
    <t>pound</t>
  </si>
  <si>
    <t>LCFS</t>
  </si>
  <si>
    <t>Low Carbon Fuel Standard</t>
  </si>
  <si>
    <t>LHV</t>
  </si>
  <si>
    <t>lower heating value</t>
  </si>
  <si>
    <t>LNG</t>
  </si>
  <si>
    <t>liquified natural gas</t>
  </si>
  <si>
    <t>MBBL</t>
  </si>
  <si>
    <t>thousand barrels</t>
  </si>
  <si>
    <t>MBOE</t>
  </si>
  <si>
    <t>thousand barrel oil equivalent</t>
  </si>
  <si>
    <t>MJ</t>
  </si>
  <si>
    <t>megajoule</t>
  </si>
  <si>
    <t>MMBTU</t>
  </si>
  <si>
    <t>million British thermal units</t>
  </si>
  <si>
    <t>MMCF</t>
  </si>
  <si>
    <t>million cubic feet</t>
  </si>
  <si>
    <r>
      <t>MMT H</t>
    </r>
    <r>
      <rPr>
        <vertAlign val="subscript"/>
        <sz val="10"/>
        <color theme="1"/>
        <rFont val="Arial"/>
        <family val="2"/>
      </rPr>
      <t>2</t>
    </r>
  </si>
  <si>
    <t>million metric ton hydrogen delivered</t>
  </si>
  <si>
    <t>MMTCO2e</t>
  </si>
  <si>
    <t>million metric ton carbon dioxide equivalents</t>
  </si>
  <si>
    <t>MMTJ</t>
  </si>
  <si>
    <t>million terajoule</t>
  </si>
  <si>
    <t>MCF</t>
  </si>
  <si>
    <t>thousand cubic feet</t>
  </si>
  <si>
    <t>MWh</t>
  </si>
  <si>
    <t>megawatt-hour</t>
  </si>
  <si>
    <t>NGL</t>
  </si>
  <si>
    <t>natural gas liquids</t>
  </si>
  <si>
    <t>NREL</t>
  </si>
  <si>
    <t>National Renewable Energy Laboratory</t>
  </si>
  <si>
    <t>PCI</t>
  </si>
  <si>
    <t>portfolio carbon intensity</t>
  </si>
  <si>
    <t>RNG</t>
  </si>
  <si>
    <t>Renewable Natural Gas</t>
  </si>
  <si>
    <t>SAF</t>
  </si>
  <si>
    <t>Sustainable Aviation Fuel</t>
  </si>
  <si>
    <t>SMR</t>
  </si>
  <si>
    <t>steam methane reforming</t>
  </si>
  <si>
    <r>
      <t>tCO</t>
    </r>
    <r>
      <rPr>
        <vertAlign val="subscript"/>
        <sz val="10"/>
        <color theme="1"/>
        <rFont val="Arial"/>
        <family val="2"/>
      </rPr>
      <t>2</t>
    </r>
    <r>
      <rPr>
        <sz val="10"/>
        <color theme="1"/>
        <rFont val="Arial"/>
        <family val="2"/>
      </rPr>
      <t>e</t>
    </r>
  </si>
  <si>
    <t>metric ton carbon dioxide equivalents</t>
  </si>
  <si>
    <t>TJ</t>
  </si>
  <si>
    <t>terajoule</t>
  </si>
  <si>
    <t>WEO</t>
  </si>
  <si>
    <t>World Energy Outlook</t>
  </si>
  <si>
    <t>yr</t>
  </si>
  <si>
    <t>year</t>
  </si>
  <si>
    <t>Check Box to use Chevron Default Factors.</t>
  </si>
  <si>
    <t>PCI, HHV Basis</t>
  </si>
  <si>
    <t>Sensitivity, LHV Basis</t>
  </si>
  <si>
    <t>Note: Source information for Chevron 2022 data is listed in a note for each category / input.</t>
  </si>
  <si>
    <t>Hover over each category / input description to view details.</t>
  </si>
  <si>
    <t>Category / Input Description</t>
  </si>
  <si>
    <t>Input Data</t>
  </si>
  <si>
    <t>Units</t>
  </si>
  <si>
    <t>Sources for Chevron 2020 Information</t>
  </si>
  <si>
    <t>Oil and Gas - Upstream</t>
  </si>
  <si>
    <t>Net Crude Oil and Natural Gas Liquids Production</t>
  </si>
  <si>
    <t>MBBL/day</t>
  </si>
  <si>
    <t>2021 Supplement to the Annual Report (p.15)</t>
  </si>
  <si>
    <t>Sources for Chevron 2020 Information: 2021 Supplement to the Annual Report (p.15)</t>
  </si>
  <si>
    <t>Energy Product</t>
  </si>
  <si>
    <t>Energy Delivered (MMTJ/yr)</t>
  </si>
  <si>
    <r>
      <t>Estimated Value Chain Emissions (MMT CO</t>
    </r>
    <r>
      <rPr>
        <i/>
        <vertAlign val="subscript"/>
        <sz val="10"/>
        <color theme="1"/>
        <rFont val="Arial"/>
        <family val="2"/>
      </rPr>
      <t>2</t>
    </r>
    <r>
      <rPr>
        <i/>
        <sz val="10"/>
        <color theme="1"/>
        <rFont val="Arial"/>
        <family val="2"/>
      </rPr>
      <t>e/yr)</t>
    </r>
  </si>
  <si>
    <r>
      <t>Energy Category Footprint (gCO</t>
    </r>
    <r>
      <rPr>
        <i/>
        <vertAlign val="subscript"/>
        <sz val="10"/>
        <color theme="1"/>
        <rFont val="Arial"/>
        <family val="2"/>
      </rPr>
      <t>2</t>
    </r>
    <r>
      <rPr>
        <i/>
        <sz val="10"/>
        <color theme="1"/>
        <rFont val="Arial"/>
        <family val="2"/>
      </rPr>
      <t>e/MJ)</t>
    </r>
  </si>
  <si>
    <t>Net Natural Gas Production</t>
  </si>
  <si>
    <t>MMCF/day</t>
  </si>
  <si>
    <t>2021 Supplement to the Annual Report (p.17)</t>
  </si>
  <si>
    <t>Sources for Chevron 2020 Information: 2021 Supplement to the Annual Report (p.17)</t>
  </si>
  <si>
    <t xml:space="preserve">Natural Gas Consumed in Operations </t>
  </si>
  <si>
    <t>2022 Supplement to the Annual Report (p.17)</t>
  </si>
  <si>
    <t>Equity GHG Intensity - Gas and LNG</t>
  </si>
  <si>
    <r>
      <t>kg CO</t>
    </r>
    <r>
      <rPr>
        <vertAlign val="subscript"/>
        <sz val="10"/>
        <color theme="1"/>
        <rFont val="Arial"/>
        <family val="2"/>
      </rPr>
      <t>2</t>
    </r>
    <r>
      <rPr>
        <sz val="10"/>
        <color theme="1"/>
        <rFont val="Arial"/>
        <family val="2"/>
      </rPr>
      <t>e/BOE</t>
    </r>
  </si>
  <si>
    <t>2021 Corporate Sustainability Report (p.61)</t>
  </si>
  <si>
    <t>Sources for Chevron 2020 Information: 2021 Corporate Sustainability Report (p.61)</t>
  </si>
  <si>
    <t>Equity GHG Intensity - Oil</t>
  </si>
  <si>
    <t>Oil and Refined Products</t>
  </si>
  <si>
    <t>Oil and Gas - Downstream</t>
  </si>
  <si>
    <t>Natural Gas and LNG</t>
  </si>
  <si>
    <t xml:space="preserve">Refinery Crude Oil Input </t>
  </si>
  <si>
    <t>2021 Supplement to the Annual Report (p.20)</t>
  </si>
  <si>
    <t>Sources for Chevron 2020 Information: 2021 Supplement to the Annual Report (p.20)</t>
  </si>
  <si>
    <t>Natural Gas Liquids</t>
  </si>
  <si>
    <t>Equity Refinery GHG Intensity</t>
  </si>
  <si>
    <r>
      <t>kg CO</t>
    </r>
    <r>
      <rPr>
        <vertAlign val="subscript"/>
        <sz val="10"/>
        <color theme="1"/>
        <rFont val="Arial"/>
        <family val="2"/>
      </rPr>
      <t>2</t>
    </r>
    <r>
      <rPr>
        <sz val="10"/>
        <color theme="1"/>
        <rFont val="Arial"/>
        <family val="2"/>
      </rPr>
      <t>e/BBL</t>
    </r>
  </si>
  <si>
    <t>Biofuels</t>
  </si>
  <si>
    <r>
      <t>Oil - Marketing</t>
    </r>
    <r>
      <rPr>
        <sz val="10"/>
        <color theme="1"/>
        <rFont val="Arial"/>
        <family val="2"/>
      </rPr>
      <t xml:space="preserve"> </t>
    </r>
    <r>
      <rPr>
        <b/>
        <sz val="10"/>
        <color theme="1"/>
        <rFont val="Arial"/>
        <family val="2"/>
      </rPr>
      <t xml:space="preserve">      </t>
    </r>
    <r>
      <rPr>
        <b/>
        <i/>
        <sz val="10"/>
        <color rgb="FF002060"/>
        <rFont val="Arial"/>
        <family val="2"/>
      </rPr>
      <t xml:space="preserve">  </t>
    </r>
    <r>
      <rPr>
        <i/>
        <sz val="10"/>
        <color rgb="FF002060"/>
        <rFont val="Arial"/>
        <family val="2"/>
      </rPr>
      <t>Click       for Alternate Calculation.</t>
    </r>
  </si>
  <si>
    <t/>
  </si>
  <si>
    <t>Hydrogen</t>
  </si>
  <si>
    <t>Gasoline</t>
  </si>
  <si>
    <t>2021 Supplement to the Annual Report (p.22)</t>
  </si>
  <si>
    <t>Sources for Chevron 2020 Information: 2021 Supplement to the Annual Report (p.22)</t>
  </si>
  <si>
    <t>Lower Carbon Power</t>
  </si>
  <si>
    <t>Diesel</t>
  </si>
  <si>
    <t>2022 Supplement to the Annual Report (p.22)</t>
  </si>
  <si>
    <t>Sources for Chevron 2020 Information: 2022 Supplement to the Annual Report (p.22)</t>
  </si>
  <si>
    <t>Carbon Sinks</t>
  </si>
  <si>
    <t>Jet Fuel</t>
  </si>
  <si>
    <t>2023 Supplement to the Annual Report (p.22)</t>
  </si>
  <si>
    <t>Sources for Chevron 2020 Information: 2023 Supplement to the Annual Report (p.22)</t>
  </si>
  <si>
    <t>Residual Fuel Oil</t>
  </si>
  <si>
    <t>2024 Supplement to the Annual Report (p.22)</t>
  </si>
  <si>
    <t>Sources for Chevron 2020 Information: 2024 Supplement to the Annual Report (p.22)</t>
  </si>
  <si>
    <t xml:space="preserve">Other Petroleum Products </t>
  </si>
  <si>
    <t>2025 Supplement to the Annual Report (p.22)</t>
  </si>
  <si>
    <t>Sources for Chevron 2020 Information: 2025 Supplement to the Annual Report (p.22)</t>
  </si>
  <si>
    <t>Gas - Marketing</t>
  </si>
  <si>
    <t>Natural Gas</t>
  </si>
  <si>
    <t>Form 10K (p.42)</t>
  </si>
  <si>
    <t>Sources for Chevron 2020 Information: Form 10K (p.42)</t>
  </si>
  <si>
    <t>Upstream Natural Gas Liquids</t>
  </si>
  <si>
    <t>Downstream Natural Gas Liquids</t>
  </si>
  <si>
    <t xml:space="preserve">Third-Party LNG </t>
  </si>
  <si>
    <t>Not Applicable</t>
  </si>
  <si>
    <t>Not applicable.</t>
  </si>
  <si>
    <t>Biofuels - Marketing</t>
  </si>
  <si>
    <t>Includes ethanol, renewable diesel, biodiesel, sustainable aviation fuel, and renewable natural gas</t>
  </si>
  <si>
    <t>MBOED/day</t>
  </si>
  <si>
    <t>Internal Analysis  by Chevron, see footnote in Climate Change Resilience Report</t>
  </si>
  <si>
    <t>Sources for Chevron 2020 Information: Internal Analysis  by Chevron, see footnote in Climate Change Resilience Report</t>
  </si>
  <si>
    <t>Gray Hydrogen</t>
  </si>
  <si>
    <r>
      <t>MMT H</t>
    </r>
    <r>
      <rPr>
        <vertAlign val="subscript"/>
        <sz val="10"/>
        <color theme="1"/>
        <rFont val="Arial"/>
        <family val="2"/>
      </rPr>
      <t>2</t>
    </r>
    <r>
      <rPr>
        <sz val="10"/>
        <color theme="1"/>
        <rFont val="Arial"/>
        <family val="2"/>
      </rPr>
      <t>/yr</t>
    </r>
  </si>
  <si>
    <t>Blue Hydrogen</t>
  </si>
  <si>
    <t>Green Hydrogen</t>
  </si>
  <si>
    <t>Wind</t>
  </si>
  <si>
    <t>MWh/yr</t>
  </si>
  <si>
    <t>EIA Form 923 Data for Casper Wind Farm</t>
  </si>
  <si>
    <t>Sources for Chevron 2020 Information: EIA Form 923 Data for Casper Wind Farm</t>
  </si>
  <si>
    <t>Solar</t>
  </si>
  <si>
    <t>EIA Form 923 Data for Questa Solar Facility</t>
  </si>
  <si>
    <t>Sources for Chevron 2020 Information: EIA Form 923 Data for Questa Solar Facility</t>
  </si>
  <si>
    <t>Geothermal</t>
  </si>
  <si>
    <t>Internal Analysis by Chevron</t>
  </si>
  <si>
    <t>Sources for Chevron 2020 Information: Internal Analysis by Chevron</t>
  </si>
  <si>
    <t>Net Equity CCUS</t>
  </si>
  <si>
    <r>
      <t>MMT CO</t>
    </r>
    <r>
      <rPr>
        <vertAlign val="subscript"/>
        <sz val="10"/>
        <color theme="1"/>
        <rFont val="Arial"/>
        <family val="2"/>
      </rPr>
      <t>2</t>
    </r>
    <r>
      <rPr>
        <sz val="10"/>
        <color theme="1"/>
        <rFont val="Arial"/>
        <family val="2"/>
      </rPr>
      <t>e/yr</t>
    </r>
  </si>
  <si>
    <t>Offsets</t>
  </si>
  <si>
    <t>2021 Corporate Sustainability Report (p.64)</t>
  </si>
  <si>
    <t>Sources for Chevron 2020 Information: 2021 Corporate Sustainability Report (p.64)</t>
  </si>
  <si>
    <t>Note for Input Sources:  For users that wish to use the tool to evaluate other companies, general sources where annual input data may be found include but are not limited to company websites, annual reports, company voluntary disclosures (example: Corporate Sustainability Reports)</t>
  </si>
  <si>
    <t xml:space="preserve">Alternative Calculation </t>
  </si>
  <si>
    <t>Use MBBL/day numbers calculated below</t>
  </si>
  <si>
    <t>Enter Refined products amount below and select check box to the right. Data will not update on "Dashboard" tab, but when box is selected, the refined products data from this tab will be used in calculations.</t>
  </si>
  <si>
    <t>Refined Products Module (use if corporate disclosure only includes total refined products, or if operator does not market refined products)</t>
  </si>
  <si>
    <t>Refined Products (MBBL/day)</t>
  </si>
  <si>
    <t>&lt;- Input Total Refined Products Here</t>
  </si>
  <si>
    <t>Product</t>
  </si>
  <si>
    <t>IEA Breakdown of Non-NGL
 Refinery Outputs</t>
  </si>
  <si>
    <t>Other Petroleum Products (naphtha, lubricants, asphalt, coke)</t>
  </si>
  <si>
    <t>Source: IEA global oil demand by product in 2020 (https://iea.blob.core.windows.net/assets/1fa45234-bac5-4d89-a532-768960f99d07/Oil_2021-PDF.pdf)</t>
  </si>
  <si>
    <t>Custom values can be entered into yellow cells.  Uncheck the Check box to use custom values.</t>
  </si>
  <si>
    <t>Hover over this cell to view abbreviations</t>
  </si>
  <si>
    <t>General Conversion Factors</t>
  </si>
  <si>
    <t>Source</t>
  </si>
  <si>
    <t>Custom Source</t>
  </si>
  <si>
    <t>General</t>
  </si>
  <si>
    <t>Days/Year</t>
  </si>
  <si>
    <t>Days in the year (non-leap year)</t>
  </si>
  <si>
    <t>MMBTU/TJ</t>
  </si>
  <si>
    <t>Unit conversion</t>
  </si>
  <si>
    <t>BBL Refined Products / BBL Refinery Crude Input</t>
  </si>
  <si>
    <r>
      <rPr>
        <sz val="11"/>
        <rFont val="Arial"/>
        <family val="2"/>
      </rPr>
      <t>EIA average processing gain at U.S. refineries, 2022:</t>
    </r>
    <r>
      <rPr>
        <u/>
        <sz val="11"/>
        <color theme="10"/>
        <rFont val="Arial"/>
        <family val="2"/>
      </rPr>
      <t xml:space="preserve"> https://www.eia.gov/energyexplained/oil-and-petroleum-products/refining-crude-oil-inputs-and-outputs.php</t>
    </r>
  </si>
  <si>
    <t>Gas and LNG</t>
  </si>
  <si>
    <t>Natural Gas HHV (MMBTU/MMCF)</t>
  </si>
  <si>
    <r>
      <rPr>
        <sz val="11"/>
        <color rgb="FF000000"/>
        <rFont val="Arial"/>
        <family val="2"/>
      </rPr>
      <t xml:space="preserve">EIA factor based on average value delivered to U.S. consumers in 2021: 
</t>
    </r>
    <r>
      <rPr>
        <u/>
        <sz val="11"/>
        <color rgb="FF0070C0"/>
        <rFont val="Arial"/>
        <family val="2"/>
      </rPr>
      <t>https://www.eia.gov/energyexplained/units-and-calculators/energy-conversion-calculators.php</t>
    </r>
  </si>
  <si>
    <t>Natural Gas LHV (MMBTU/MMCF)</t>
  </si>
  <si>
    <t>LHV assumed to be ~90% of NG HHV above, per note under API Compendium (2021) Table 3-8</t>
  </si>
  <si>
    <t>MCF/BOE</t>
  </si>
  <si>
    <t>NGLs</t>
  </si>
  <si>
    <t>NGL Higher Heating Value (BTU/BBL)</t>
  </si>
  <si>
    <t>API Compendium (2021) Table 3-8 for HHV by NGL component; Chevron internal analysis for generic NGL barrel composition of 42% ethane, 28% propane, 8% n-butane, 9% i-butane, and 13% natural gasoline. Calculation on bottom of "Factors" tab.</t>
  </si>
  <si>
    <t>NGL Lower Heating Value (BTU/BBL)</t>
  </si>
  <si>
    <t>API Compendium (2021) Table 3-8 for LHV by NGL component; Chevron internal analysis for generic NGL barrel composition of 42% ethane, 28% propane, 8% n-butane, 9% i-butane, and 13% natural gasoline. Calculation on bottom of "Factors" tab.</t>
  </si>
  <si>
    <t>Hydrogen higher heating value (BTU/CF)</t>
  </si>
  <si>
    <t>Argonne GREET model 2022</t>
  </si>
  <si>
    <t>Hydrogen density (g/CF)</t>
  </si>
  <si>
    <t>Hydrogen LHV/HHV Ratio</t>
  </si>
  <si>
    <t>MWh/TJ</t>
  </si>
  <si>
    <t>Value Chain Emission Factors</t>
  </si>
  <si>
    <t>Default Chevron Value</t>
  </si>
  <si>
    <t>Custom Value</t>
  </si>
  <si>
    <t>Segment</t>
  </si>
  <si>
    <t>Upstream Third-Party - kgCO2e/BOE Production</t>
  </si>
  <si>
    <t>Chevron internal analysis of IEA World Energy Outlook 2018</t>
  </si>
  <si>
    <t>Refining Third-Party - kgCO2e/BOE Production</t>
  </si>
  <si>
    <t>Transport Equity and Third-Party - kgCO2e/BOE Production</t>
  </si>
  <si>
    <t>Segment and Production Type</t>
  </si>
  <si>
    <t>Upstream and LNG, Own Production - kg CO2e/BOE</t>
  </si>
  <si>
    <t>Input Tab, adjusted for Natural Gas Consumed in Operations</t>
  </si>
  <si>
    <t>Upstream, Third Party w/out Liquefaction - kg CO2e/BOE</t>
  </si>
  <si>
    <t>Chevron Internal Analysis of IEA World Energy Outlook 2018</t>
  </si>
  <si>
    <t>Liquefaction, Third Party - kg CO2e/BOE</t>
  </si>
  <si>
    <t>Transport and Downstream - kg CO2e/BOE</t>
  </si>
  <si>
    <t>End Use, HHV Basis - tCO2e/MMBTU</t>
  </si>
  <si>
    <t>API Compendium (2021), Table 4-3 and 4-6
Assumed GWPs for CH4 and N2O are 25 and 298, respectively</t>
  </si>
  <si>
    <t>Transport Intensity - kgCO2e/BOE</t>
  </si>
  <si>
    <t>Emission Factor, HHV - tCO2e/MMBTU</t>
  </si>
  <si>
    <t>Gray Hydrogen - kgCO2e/kgH2 (LHV)</t>
  </si>
  <si>
    <r>
      <rPr>
        <sz val="11"/>
        <rFont val="Arial"/>
        <family val="2"/>
      </rPr>
      <t>2030 value for Natural Gas and SMR, 1700km:</t>
    </r>
    <r>
      <rPr>
        <u/>
        <sz val="11"/>
        <color theme="10"/>
        <rFont val="Arial"/>
        <family val="2"/>
      </rPr>
      <t xml:space="preserve"> 
https://hydrogencouncil.com/wp-content/uploads/2021/01/Hydrogen-Council-Report_Decarbonization-Pathways_Part-1-Lifecycle-Assessment.pdf</t>
    </r>
  </si>
  <si>
    <t>Blue Hydrogen - kgCO2e/kgH2 (LHV)</t>
  </si>
  <si>
    <r>
      <rPr>
        <sz val="11"/>
        <rFont val="Arial"/>
        <family val="2"/>
      </rPr>
      <t>2030 value for Natural Gas with SMR and 90% CCS capture, 1700km:</t>
    </r>
    <r>
      <rPr>
        <u/>
        <sz val="11"/>
        <color theme="10"/>
        <rFont val="Arial"/>
        <family val="2"/>
      </rPr>
      <t xml:space="preserve"> 
https://hydrogencouncil.com/wp-content/uploads/2021/01/Hydrogen-Council-Report_Decarbonization-Pathways_Part-1-Lifecycle-Assessment.pdf</t>
    </r>
  </si>
  <si>
    <t>Green Hydrogen - kgCO2e/kgH2 (LHV)</t>
  </si>
  <si>
    <r>
      <rPr>
        <sz val="11"/>
        <rFont val="Arial"/>
        <family val="2"/>
      </rPr>
      <t xml:space="preserve">2030 value for Renewable Electrolysis with Wind Power: </t>
    </r>
    <r>
      <rPr>
        <u/>
        <sz val="11"/>
        <color theme="10"/>
        <rFont val="Arial"/>
        <family val="2"/>
      </rPr>
      <t xml:space="preserve">
https://hydrogencouncil.com/wp-content/uploads/2021/01/Hydrogen-Council-Report_Decarbonization-Pathways_Part-1-Lifecycle-Assessment.pdf</t>
    </r>
  </si>
  <si>
    <t>Generation Type: Wind - gCO2e/kWh</t>
  </si>
  <si>
    <r>
      <rPr>
        <sz val="11"/>
        <rFont val="Arial"/>
        <family val="2"/>
      </rPr>
      <t>NREL Total Life Cycle Emissions from Wind (Table 1):</t>
    </r>
    <r>
      <rPr>
        <u/>
        <sz val="11"/>
        <color theme="10"/>
        <rFont val="Arial"/>
        <family val="2"/>
      </rPr>
      <t xml:space="preserve">
https://www.nrel.gov/docs/fy21osti/80580.pdf</t>
    </r>
  </si>
  <si>
    <t>Generation Type: Solar - gCO2e/kWh</t>
  </si>
  <si>
    <r>
      <rPr>
        <sz val="11"/>
        <rFont val="Arial"/>
        <family val="2"/>
      </rPr>
      <t>NREL Total Life Cycle Emissions from Photovoltaics (Table 1):</t>
    </r>
    <r>
      <rPr>
        <u/>
        <sz val="11"/>
        <color theme="10"/>
        <rFont val="Arial"/>
        <family val="2"/>
      </rPr>
      <t xml:space="preserve">
https://www.nrel.gov/docs/fy21osti/80580.pdf</t>
    </r>
  </si>
  <si>
    <t>Generation Type: Geothermal - gCO2e/kWh</t>
  </si>
  <si>
    <r>
      <rPr>
        <sz val="11"/>
        <rFont val="Arial"/>
        <family val="2"/>
      </rPr>
      <t>NREL Total Life Cycle Emissions from Geothermal (Table 1):</t>
    </r>
    <r>
      <rPr>
        <u/>
        <sz val="11"/>
        <color theme="10"/>
        <rFont val="Arial"/>
        <family val="2"/>
      </rPr>
      <t xml:space="preserve">
https://www.nrel.gov/docs/fy21osti/80580.pdf</t>
    </r>
  </si>
  <si>
    <t>Average Biofuel Parameters</t>
  </si>
  <si>
    <r>
      <t>Average Carbon Intensity (gCO</t>
    </r>
    <r>
      <rPr>
        <vertAlign val="subscript"/>
        <sz val="11"/>
        <color theme="1"/>
        <rFont val="Arial"/>
        <family val="2"/>
      </rPr>
      <t>2</t>
    </r>
    <r>
      <rPr>
        <sz val="11"/>
        <color theme="1"/>
        <rFont val="Arial"/>
        <family val="2"/>
      </rPr>
      <t>e/MJ), HHV</t>
    </r>
  </si>
  <si>
    <t>Chevron internal analysis based on sales volumes</t>
  </si>
  <si>
    <t>Average Energy Content (TJ/MBOE), HHV</t>
  </si>
  <si>
    <t>Average Energy Content (TJ/MBOE), LHV</t>
  </si>
  <si>
    <t>Company-Marketed Refined Product Emissions</t>
  </si>
  <si>
    <t>Default Chevron Values</t>
  </si>
  <si>
    <t>Use of Product Emission Factors</t>
  </si>
  <si>
    <r>
      <t xml:space="preserve">Higher Heating Value 
(BTU/BBL Product) </t>
    </r>
    <r>
      <rPr>
        <i/>
        <vertAlign val="superscript"/>
        <sz val="11"/>
        <rFont val="Arial"/>
        <family val="2"/>
      </rPr>
      <t>a</t>
    </r>
  </si>
  <si>
    <r>
      <t xml:space="preserve">Lower Heating Value 
(BTU/BBL Product) </t>
    </r>
    <r>
      <rPr>
        <i/>
        <vertAlign val="superscript"/>
        <sz val="11"/>
        <rFont val="Arial"/>
        <family val="2"/>
      </rPr>
      <t>a</t>
    </r>
  </si>
  <si>
    <r>
      <t>Emissions from Use of Product, HHV Basis 
(tCO</t>
    </r>
    <r>
      <rPr>
        <i/>
        <vertAlign val="subscript"/>
        <sz val="11"/>
        <rFont val="Arial"/>
        <family val="2"/>
      </rPr>
      <t>2</t>
    </r>
    <r>
      <rPr>
        <i/>
        <sz val="11"/>
        <rFont val="Arial"/>
        <family val="2"/>
      </rPr>
      <t xml:space="preserve">e/MMBTU Product) </t>
    </r>
    <r>
      <rPr>
        <i/>
        <vertAlign val="superscript"/>
        <sz val="11"/>
        <rFont val="Arial"/>
        <family val="2"/>
      </rPr>
      <t>b</t>
    </r>
  </si>
  <si>
    <r>
      <rPr>
        <vertAlign val="superscript"/>
        <sz val="11"/>
        <color theme="1"/>
        <rFont val="Arial"/>
        <family val="2"/>
      </rPr>
      <t xml:space="preserve">a </t>
    </r>
    <r>
      <rPr>
        <sz val="11"/>
        <color theme="1"/>
        <rFont val="Arial"/>
        <family val="2"/>
      </rPr>
      <t xml:space="preserve"> Source: API Compendium (2021) Table 3-8 for Densities, Higher Heating Values, and Carbon Contents for Various fuels     
</t>
    </r>
  </si>
  <si>
    <r>
      <rPr>
        <vertAlign val="superscript"/>
        <sz val="11"/>
        <color theme="1"/>
        <rFont val="Arial"/>
        <family val="2"/>
      </rPr>
      <t>b</t>
    </r>
    <r>
      <rPr>
        <sz val="11"/>
        <color theme="1"/>
        <rFont val="Arial"/>
        <family val="2"/>
      </rPr>
      <t xml:space="preserve">  Source: API Compendium (2021) Tables 4-3 and 4-6 for CO2e Combustion Emission Factors for Common Industry Fuel Types. Assumed GWPs for CH4 and N2O are 28 and 265, respectively.</t>
    </r>
  </si>
  <si>
    <t>Custom Values</t>
  </si>
  <si>
    <t>Higher Heating Value 
(BTU/BBL Product)</t>
  </si>
  <si>
    <t>Lower Heating Value 
(BTU/BBL Product)</t>
  </si>
  <si>
    <r>
      <t>Emissions from Use of Product, HHV Basis
(tCO</t>
    </r>
    <r>
      <rPr>
        <i/>
        <vertAlign val="subscript"/>
        <sz val="11"/>
        <rFont val="Arial"/>
        <family val="2"/>
      </rPr>
      <t>2</t>
    </r>
    <r>
      <rPr>
        <i/>
        <sz val="11"/>
        <rFont val="Arial"/>
        <family val="2"/>
      </rPr>
      <t>e/MMBTU Product)</t>
    </r>
  </si>
  <si>
    <t>Custom Source (optional)</t>
  </si>
  <si>
    <t>Calculations for NGL Heating Values</t>
  </si>
  <si>
    <t>NGL Component</t>
  </si>
  <si>
    <t>% of NGL Barrel by Component</t>
  </si>
  <si>
    <t>HHV of Component
(BTU/BBL)</t>
  </si>
  <si>
    <t>HHV weighted by Component Percentage
(BTU/BBL)</t>
  </si>
  <si>
    <t>LHV of Component
(BTU/BBL)</t>
  </si>
  <si>
    <t>LHV weighted by Component Percentage
(BTU/BBL)</t>
  </si>
  <si>
    <t>Ethane</t>
  </si>
  <si>
    <t>Propane</t>
  </si>
  <si>
    <t>Butane</t>
  </si>
  <si>
    <t>Isobutane</t>
  </si>
  <si>
    <t>Natural Gasoline</t>
  </si>
  <si>
    <t>Chevron internal analysis for generic NGL barrel composition of 42% ethane, 28% propane, 8% n-butane, 9% i-butane, and 13% natural gasoline.</t>
  </si>
  <si>
    <t>Oil and Refined Products Calculations</t>
  </si>
  <si>
    <t>PCI Results</t>
  </si>
  <si>
    <t>Formula Notes</t>
  </si>
  <si>
    <t>Sum of Energy Delivered, HHV basis (TJ/yr) for all segments divided by 1 million</t>
  </si>
  <si>
    <r>
      <t>Estimated Value Chain Emissions (MMT CO</t>
    </r>
    <r>
      <rPr>
        <vertAlign val="subscript"/>
        <sz val="10"/>
        <color theme="1"/>
        <rFont val="Arial"/>
        <family val="2"/>
      </rPr>
      <t>2</t>
    </r>
    <r>
      <rPr>
        <sz val="10"/>
        <color theme="1"/>
        <rFont val="Arial"/>
        <family val="2"/>
      </rPr>
      <t>e/yr)</t>
    </r>
  </si>
  <si>
    <t>Value Chain Emissions (MMTCO2e/yr) for all segments</t>
  </si>
  <si>
    <t>Value Chain PCI (gCO2e/MJ)</t>
  </si>
  <si>
    <t>If Energy Delivered is greater than zero, Estimated Value Chain Emissions (MMT CO2e/yr) divided by Energy Delivered (MMTJ/yr)</t>
  </si>
  <si>
    <t>Volume Inputs</t>
  </si>
  <si>
    <t>Volume Category</t>
  </si>
  <si>
    <t>Input from Dashboard</t>
  </si>
  <si>
    <t>Net Crude Oil Production</t>
  </si>
  <si>
    <t>Net Crude Oil and Natural Gas Liquids Production - Upstream Natural Gas Liquids</t>
  </si>
  <si>
    <t>Input from Dashboard - sum of "Oil  - Marketing"</t>
  </si>
  <si>
    <t xml:space="preserve">  Use Alternative Calculation. Enter Input Total Refined Products by clicking here.</t>
  </si>
  <si>
    <t>Biofuel Volumes</t>
  </si>
  <si>
    <t>Net Marketed Refined Products</t>
  </si>
  <si>
    <t>Marketed Refined Products' minus 'Biofuels Volumes'</t>
  </si>
  <si>
    <t>Conversion Factors</t>
  </si>
  <si>
    <t>Value</t>
  </si>
  <si>
    <t>days/year</t>
  </si>
  <si>
    <t>Type of Crude Barrels Converted to Refined Products</t>
  </si>
  <si>
    <t>The calculation sections below help to rank segments (production, refining, marketing) in terms of energy.</t>
  </si>
  <si>
    <t>Company Produced + Company Refined</t>
  </si>
  <si>
    <t>Formula: Lower of Net Crude Oil Production or Refinery Crude Oil Input. Multiplied by BBL Refined Products and BBL Refinery Crude Input ratio.</t>
  </si>
  <si>
    <t>Third Party Produced + Company Refined</t>
  </si>
  <si>
    <t>Formula: Higher of Zero or 'Refinery Crude Oil Input' minus 'Net Crude Oil Production'. Multiplied by 'BBL Refined Products and BBL Refinery Crude Input' ratio.</t>
  </si>
  <si>
    <t>Company Produced + Third Party Refined</t>
  </si>
  <si>
    <t>Formula: Higher of Zero or 'Net Crude Oil Production' minus 'Refinery Crude Oil Input'. Multiplied by 'BBL Refined Products and BBL Refinery Crude Input' ratio.</t>
  </si>
  <si>
    <t>Third Party Produced +Third Party Refined</t>
  </si>
  <si>
    <t>Formula: Higher of Zero or (('Marketed Refined Products' minus 'Biofuel Volumes') - sum of three numbers above)</t>
  </si>
  <si>
    <t>Type of Marketed Product</t>
  </si>
  <si>
    <t>Percent</t>
  </si>
  <si>
    <t>Company Marketed</t>
  </si>
  <si>
    <t>Linked to Net Marketed Refined Products</t>
  </si>
  <si>
    <t>Third Party Marketed</t>
  </si>
  <si>
    <t>Formula: Higher of Zero or ((Sum of 'Company Produced + Company Refined', 'Third Party Produced + Company Refined', 'Company Produced + Third Party Refined') - Company Marketed')</t>
  </si>
  <si>
    <t>Product Mix Based on Input Data Tab</t>
  </si>
  <si>
    <t>Company-marketed Refined Product</t>
  </si>
  <si>
    <t>Percent of Refined Product Sales (Non-LPG)</t>
  </si>
  <si>
    <t>If the sum of Company-marketed Refined Products is greater than 0, calculates the product percent of total, else 0</t>
  </si>
  <si>
    <t>Third party-marketed Refined Product</t>
  </si>
  <si>
    <t>'Third Party Marketed' (MBBL/day) multiplied by 'Refined Products - Alt Calc' IEA product percentage</t>
  </si>
  <si>
    <t>If the sum of Third party-marketed Refined Products is greater than 0, calculates the product percent of total, else 0</t>
  </si>
  <si>
    <t>If the sum of Third party-marketed Refined Products is greater than 0, calculates the product percent of total, else 1</t>
  </si>
  <si>
    <t>If the sum of Third party-marketed Refined Products is greater than 0, calculates the product percent of total, else 2</t>
  </si>
  <si>
    <r>
      <t xml:space="preserve">Higher Heating Value 
(BTU/BBL Product) </t>
    </r>
    <r>
      <rPr>
        <i/>
        <vertAlign val="superscript"/>
        <sz val="10"/>
        <rFont val="Arial"/>
        <family val="2"/>
      </rPr>
      <t>a</t>
    </r>
  </si>
  <si>
    <r>
      <t xml:space="preserve">Lower Heating Value 
(BTU/BBL Product) </t>
    </r>
    <r>
      <rPr>
        <i/>
        <vertAlign val="superscript"/>
        <sz val="10"/>
        <rFont val="Arial"/>
        <family val="2"/>
      </rPr>
      <t>a</t>
    </r>
  </si>
  <si>
    <r>
      <t>Emissions from Use of Product, HHV basis 
(tCO</t>
    </r>
    <r>
      <rPr>
        <i/>
        <vertAlign val="subscript"/>
        <sz val="10"/>
        <rFont val="Arial"/>
        <family val="2"/>
      </rPr>
      <t>2</t>
    </r>
    <r>
      <rPr>
        <i/>
        <sz val="10"/>
        <rFont val="Arial"/>
        <family val="2"/>
      </rPr>
      <t xml:space="preserve">e/MMBTU Product) </t>
    </r>
    <r>
      <rPr>
        <i/>
        <vertAlign val="superscript"/>
        <sz val="10"/>
        <rFont val="Arial"/>
        <family val="2"/>
      </rPr>
      <t>b</t>
    </r>
  </si>
  <si>
    <r>
      <rPr>
        <i/>
        <sz val="10"/>
        <color rgb="FF000000"/>
        <rFont val="Arial"/>
        <family val="2"/>
      </rPr>
      <t>Emissions from Use of Product
(tCO</t>
    </r>
    <r>
      <rPr>
        <i/>
        <vertAlign val="subscript"/>
        <sz val="10"/>
        <color rgb="FF000000"/>
        <rFont val="Arial"/>
        <family val="2"/>
      </rPr>
      <t>2</t>
    </r>
    <r>
      <rPr>
        <i/>
        <sz val="10"/>
        <color rgb="FF000000"/>
        <rFont val="Arial"/>
        <family val="2"/>
      </rPr>
      <t>e/MBBL Product)</t>
    </r>
  </si>
  <si>
    <t>Emissions from Use of Product (tCO2e/MBBL) is Higher Heating Value (BTU/BBL) multiplied by Emissions from Use of Product, HHV Basis (tCO2e/MMBTU) divided by 1000</t>
  </si>
  <si>
    <t>Weighted Average Emission Factors for Product Marketed by Company</t>
  </si>
  <si>
    <t>Weighted Higher Heating Value 
(BTU/BBL Product)</t>
  </si>
  <si>
    <t>Weighted Lower Heating Value 
(BTU/BBL Product)</t>
  </si>
  <si>
    <r>
      <rPr>
        <i/>
        <sz val="10"/>
        <color rgb="FF000000"/>
        <rFont val="Arial"/>
        <family val="2"/>
      </rPr>
      <t xml:space="preserve"> Weighted Emissions from Use of Product
(tCO</t>
    </r>
    <r>
      <rPr>
        <i/>
        <vertAlign val="subscript"/>
        <sz val="10"/>
        <color rgb="FF000000"/>
        <rFont val="Arial"/>
        <family val="2"/>
      </rPr>
      <t>2</t>
    </r>
    <r>
      <rPr>
        <i/>
        <sz val="10"/>
        <color rgb="FF000000"/>
        <rFont val="Arial"/>
        <family val="2"/>
      </rPr>
      <t>e/MBBL product)</t>
    </r>
  </si>
  <si>
    <t>Weighted Emissions from Use of Product (tCO2e/MBBL product)' is 'Emissions from Use of Product (tCO2e/MBBL product)' above multiplied by corresponding Company-marketed 'Percent of Refined Product Sales (non-LPG)'</t>
  </si>
  <si>
    <t>Weighted Average of non-NGL Refined Products</t>
  </si>
  <si>
    <t>Weighted Average Emission Factors for Product Marketed by Third Party</t>
  </si>
  <si>
    <r>
      <rPr>
        <i/>
        <sz val="10"/>
        <color rgb="FF000000"/>
        <rFont val="Arial"/>
        <family val="2"/>
      </rPr>
      <t xml:space="preserve"> Weighted Emissions from Use of Product</t>
    </r>
    <r>
      <rPr>
        <i/>
        <sz val="10"/>
        <color rgb="FFFF0000"/>
        <rFont val="Arial"/>
        <family val="2"/>
      </rPr>
      <t xml:space="preserve"> 
</t>
    </r>
    <r>
      <rPr>
        <i/>
        <sz val="10"/>
        <color rgb="FF000000"/>
        <rFont val="Arial"/>
        <family val="2"/>
      </rPr>
      <t>(tCO</t>
    </r>
    <r>
      <rPr>
        <i/>
        <vertAlign val="subscript"/>
        <sz val="10"/>
        <color rgb="FF000000"/>
        <rFont val="Arial"/>
        <family val="2"/>
      </rPr>
      <t>2</t>
    </r>
    <r>
      <rPr>
        <i/>
        <sz val="10"/>
        <color rgb="FF000000"/>
        <rFont val="Arial"/>
        <family val="2"/>
      </rPr>
      <t>e/MBBL product)</t>
    </r>
  </si>
  <si>
    <t>Weighted Emissions from Use of Product (tCO2e/MBBL product)' is 'Emissions from Use of Product (tCO2e/MBBL product)' above multiplied by corresponding Third Party 'Percent of Refined Product Sales (non-LPG)'</t>
  </si>
  <si>
    <t>Calculation of Largest Segment</t>
  </si>
  <si>
    <t>Ranking</t>
  </si>
  <si>
    <t>Type of Crude Barrels (Converted to Refined Products)</t>
  </si>
  <si>
    <t>Company Produced + Company Refined + Company Marketed</t>
  </si>
  <si>
    <t>Company Produced + Third Party Refined + Company Marketed</t>
  </si>
  <si>
    <t>Third Party Produced + Company Refined + Company Marketed</t>
  </si>
  <si>
    <t>Third Party Produced + Third Party Refined + Company Marketed</t>
  </si>
  <si>
    <t>Company Produced + Company Refined + Third Party Marketed</t>
  </si>
  <si>
    <t>Company Produced + Third Party Refined + Third Party Marketed</t>
  </si>
  <si>
    <t>Third Party Produced + Company Refined + Third Party Marketed</t>
  </si>
  <si>
    <t>Type</t>
  </si>
  <si>
    <r>
      <t>kgCO</t>
    </r>
    <r>
      <rPr>
        <i/>
        <vertAlign val="subscript"/>
        <sz val="10"/>
        <color theme="1"/>
        <rFont val="Arial"/>
        <family val="2"/>
      </rPr>
      <t>2</t>
    </r>
    <r>
      <rPr>
        <i/>
        <sz val="10"/>
        <color theme="1"/>
        <rFont val="Arial"/>
        <family val="2"/>
      </rPr>
      <t>e/BOE Production</t>
    </r>
  </si>
  <si>
    <t>Data Source</t>
  </si>
  <si>
    <r>
      <t>tCO</t>
    </r>
    <r>
      <rPr>
        <i/>
        <vertAlign val="subscript"/>
        <sz val="10"/>
        <color theme="1"/>
        <rFont val="Arial"/>
        <family val="2"/>
      </rPr>
      <t>2</t>
    </r>
    <r>
      <rPr>
        <i/>
        <sz val="10"/>
        <color theme="1"/>
        <rFont val="Arial"/>
        <family val="2"/>
      </rPr>
      <t>e/MBBL Refined Product</t>
    </r>
  </si>
  <si>
    <t>Upstream</t>
  </si>
  <si>
    <t>Company Equity</t>
  </si>
  <si>
    <t>kgCO2e/BOE production divided by BBL Refined Products / BBL Refinery Crude Input</t>
  </si>
  <si>
    <t>Third-Party</t>
  </si>
  <si>
    <t>Refining</t>
  </si>
  <si>
    <t>Transport</t>
  </si>
  <si>
    <t>Company Equity and Third-Party</t>
  </si>
  <si>
    <t>Value Chain Emission Calculations</t>
  </si>
  <si>
    <r>
      <t>Value Chain Emission Factors (tCO</t>
    </r>
    <r>
      <rPr>
        <i/>
        <vertAlign val="subscript"/>
        <sz val="10"/>
        <color theme="0"/>
        <rFont val="Arial"/>
        <family val="2"/>
      </rPr>
      <t>2</t>
    </r>
    <r>
      <rPr>
        <i/>
        <sz val="10"/>
        <color theme="0"/>
        <rFont val="Arial"/>
        <family val="2"/>
      </rPr>
      <t>e/MBBL Refined Product)</t>
    </r>
  </si>
  <si>
    <t>This section calculates the size of different segments for a company and applies emission factors based on Company performance or third-party values (IEA), accounting for different segment sizes. For example, a company that only markets refined products would be assigned IEA values for production and refining when estimating value chain emissions.</t>
  </si>
  <si>
    <t>Segments ordered from largest to smallest product volumes</t>
  </si>
  <si>
    <t>Oil and Refined Product
(MBBL/day)</t>
  </si>
  <si>
    <t>Energy Delivered, HHV Basis (TJ/yr)</t>
  </si>
  <si>
    <t>Energy Delivered, LHV Basis (TJ/yr)</t>
  </si>
  <si>
    <t>Upstream
(tCO2e/MBBL Refined Product)</t>
  </si>
  <si>
    <t>Refining
(tCO2e/MBBL Refined Product)</t>
  </si>
  <si>
    <t>Transport
(tCO2e/MBBL Refined Product)</t>
  </si>
  <si>
    <t>End Use
(tCO2e/MBBL Refined Product)</t>
  </si>
  <si>
    <t>Value Chain Intensity
(tCO2e/MBBL)</t>
  </si>
  <si>
    <t>Value Chain Emissions (MMTCO2e/yr)</t>
  </si>
  <si>
    <t>Formulas for section above:</t>
  </si>
  <si>
    <t>Sorts segments largest to smallest product volumes</t>
  </si>
  <si>
    <t>Looks up the MBBL/day for the applicable row segment</t>
  </si>
  <si>
    <t xml:space="preserve">Oil and Refined Product (MBBL/day) multiplied by days per year divided by 1,000 divided by MMBTU/TJ conversion multiplied by (If row segment name starts with "Company Marketed" THEN Company 'Weighted Average of non-NGL Refined Products' HHV total (BTU/BBL), else Third Party 'Weighted Average of non-NGL Refined Products' HHV Total) </t>
  </si>
  <si>
    <t xml:space="preserve">Oil and Refined Product (MBBL/day) multiplied by days per year divided by 1,000 divided by MMBTU/TJ conversion multiplied by (If row segment name starts with "Company Marketed" THEN Company 'Weighted Average of non-NGL Refined Products' LHV total (BTU/BBL), else Third Party 'Weighted Average of non-NGL Refined Products' LHV Total) </t>
  </si>
  <si>
    <t>If Segment name starts with 'Company' then Equity Upstream 'tCO2e/MBBL Refined Product' value else Third Party Upstream 'tCO2e/MBBL Refined Product' value</t>
  </si>
  <si>
    <t>If Segment name includes 'Company Refined' then Equity Refining 'tCO2e/MBBL Refined Product' value else Third Party Refining 'tCO2e/MBBL Refined Product' value</t>
  </si>
  <si>
    <t>Transport 'tCO2e/MBBL Refined Product' value</t>
  </si>
  <si>
    <t>If Segment name ends with 'Company marketed' then Company Marketed 'Weighted Emissions from Use of Product (tCO2e/MBBL products)' else Third Party Marketed 'Weighted Emissions from Use of Product (tCO2e/MBBL products)'</t>
  </si>
  <si>
    <t>Sum of Upstream, Refining, Transport and End Use (tCO2e/MBBL)</t>
  </si>
  <si>
    <t>Oil and Refined Product (MBBL/yr) multiplied by Value Chain Intensity (tCO2e/MBBL) multiplied by days per year divided by 1000000</t>
  </si>
  <si>
    <t>Gas and LNG Calculations</t>
  </si>
  <si>
    <t>Sum of Energy Delivered, HHV Basis (TJ/yr) for all value chain elements divided by 1 million</t>
  </si>
  <si>
    <t>Sum of Value Chain Emissions (MMTCO2e/yr) for all value chain elements</t>
  </si>
  <si>
    <t>Natural Gas Consumed in Operations</t>
  </si>
  <si>
    <t>Marketed Natural Gas</t>
  </si>
  <si>
    <t>Marketed LNG</t>
  </si>
  <si>
    <t>Formula</t>
  </si>
  <si>
    <t>Upstream and LNG, Own Production Intensity</t>
  </si>
  <si>
    <t>Company Sustainability Report, Adjusted for Own Use Gas</t>
  </si>
  <si>
    <r>
      <t>kg CO</t>
    </r>
    <r>
      <rPr>
        <vertAlign val="subscript"/>
        <sz val="10"/>
        <color theme="1"/>
        <rFont val="Arial"/>
        <family val="2"/>
      </rPr>
      <t>2</t>
    </r>
    <r>
      <rPr>
        <sz val="10"/>
        <color theme="1"/>
        <rFont val="Arial"/>
        <family val="2"/>
      </rPr>
      <t>e/MCF</t>
    </r>
  </si>
  <si>
    <t>Intensity (kg CO2e/BOE) divided by volume unit conversion (MCF/BOE)</t>
  </si>
  <si>
    <t>Upstream, Third Party w/out Liquefaction Intensity</t>
  </si>
  <si>
    <t>Liquefaction, Third Party Intensity</t>
  </si>
  <si>
    <t>Transport and Downstream Intensity</t>
  </si>
  <si>
    <t>End Use Intensity, HHV Basis</t>
  </si>
  <si>
    <r>
      <t>tCO</t>
    </r>
    <r>
      <rPr>
        <vertAlign val="subscript"/>
        <sz val="10"/>
        <color theme="1"/>
        <rFont val="Arial"/>
        <family val="2"/>
      </rPr>
      <t>2</t>
    </r>
    <r>
      <rPr>
        <sz val="10"/>
        <color theme="1"/>
        <rFont val="Arial"/>
        <family val="2"/>
      </rPr>
      <t>e/MMBTU</t>
    </r>
  </si>
  <si>
    <t>End Use Intensity, HHV basis (tCO2e/MMBTU) multiplied by NG HHV (MMBTU/MMCF)</t>
  </si>
  <si>
    <t>Calculations</t>
  </si>
  <si>
    <t>Value Chain Element</t>
  </si>
  <si>
    <t>Gas and LNG Input
(MMCF/day)</t>
  </si>
  <si>
    <r>
      <t>Value Chain Intensity, HHV Basis
(kgCO</t>
    </r>
    <r>
      <rPr>
        <i/>
        <vertAlign val="subscript"/>
        <sz val="10"/>
        <color theme="1"/>
        <rFont val="Arial"/>
        <family val="2"/>
      </rPr>
      <t>2</t>
    </r>
    <r>
      <rPr>
        <i/>
        <sz val="10"/>
        <color theme="1"/>
        <rFont val="Arial"/>
        <family val="2"/>
      </rPr>
      <t>e/MCF)</t>
    </r>
  </si>
  <si>
    <t>Value Chain Emissions
(MMT CO2e/yr)</t>
  </si>
  <si>
    <t>Own Gas Production Volumes</t>
  </si>
  <si>
    <t>Marketed Third Party LNG Volumes</t>
  </si>
  <si>
    <t>Marketed Third Party Gas (Non-LNG) Volumes</t>
  </si>
  <si>
    <t>Calculates the Gas and LNG Input (MMCF/day) for the applicable row segment</t>
  </si>
  <si>
    <t>Gas and LNG Input (MMCF/day) multiplied by days per year multiplied by Natural Gas HHV (MMBTU/MMCF) divided by MMBTU/TJ unit conversion</t>
  </si>
  <si>
    <t>Calculates the Value Chain Intensity, HHV Basis (kg CO2e/MCF) by adding the relevant Upstream, Liquefaction, Transport and Downstream, and End Use Intensities</t>
  </si>
  <si>
    <t>Gas and LNG Input (MMCF/day) multiplied by Value Chain Intensity, HHV Basis (kgCO2e/MCF) multiplied by days per year divided by 1 million</t>
  </si>
  <si>
    <t>Gas and LNG Input (MMCF/day) multiplied by days per year multiplied by Natural Gas LHV (MMBTU/MMCF) divided by MMBTU/TJ unit conversion</t>
  </si>
  <si>
    <t>Biofuels Calculations</t>
  </si>
  <si>
    <t>Sum of HHV Energy Delivered (MMTJ/yr) for all value chain elements</t>
  </si>
  <si>
    <t>Estimated Value Chain Emissions (MMT CO2e/yr) divided by Energy Delivered (MMTJ/yr)</t>
  </si>
  <si>
    <t>Inputs</t>
  </si>
  <si>
    <t>Biofuel Volume (MBOE/day)</t>
  </si>
  <si>
    <r>
      <t>Average Carbon Intensity (gCO</t>
    </r>
    <r>
      <rPr>
        <vertAlign val="subscript"/>
        <sz val="10"/>
        <color theme="1"/>
        <rFont val="Arial"/>
        <family val="2"/>
      </rPr>
      <t>2</t>
    </r>
    <r>
      <rPr>
        <sz val="10"/>
        <color theme="1"/>
        <rFont val="Arial"/>
        <family val="2"/>
      </rPr>
      <t>e/MJ), HHV</t>
    </r>
  </si>
  <si>
    <t>Energy Delivered, HHV Basis (MMTJ/yr)</t>
  </si>
  <si>
    <t>Biofuel Volume (MBOE/day) multiplied by days/yr multiplied by Average Energy Content (TJ/MBOE), HHV divided by 1 million</t>
  </si>
  <si>
    <t>Energy Delivered, LHV Basis (MMTJ/yr)</t>
  </si>
  <si>
    <t>Biofuel Volume (MBOE/day) multiplied by days/yr multiplied by Average Energy Content (TJ/MBOE), LHV divided by 1 million</t>
  </si>
  <si>
    <r>
      <t>Estimated Value Chain Emissions (MMTCO</t>
    </r>
    <r>
      <rPr>
        <vertAlign val="subscript"/>
        <sz val="10"/>
        <color theme="1"/>
        <rFont val="Arial"/>
        <family val="2"/>
      </rPr>
      <t>2</t>
    </r>
    <r>
      <rPr>
        <sz val="10"/>
        <color theme="1"/>
        <rFont val="Arial"/>
        <family val="2"/>
      </rPr>
      <t>e/yr)</t>
    </r>
  </si>
  <si>
    <t>Energy Delivered, HHV Basis (MMTJ/yr) multiplied by Average Carbon Intensity (gCO2e/MJ), HHV</t>
  </si>
  <si>
    <t>NGLs Calculations</t>
  </si>
  <si>
    <t>Sum of HHV Energy Delivered (TJ/yr) for all value chain elements divided by 1 million</t>
  </si>
  <si>
    <t>Estimated Value Chain Emissions (MMT CO2e/yr)</t>
  </si>
  <si>
    <t>MMBBL/day</t>
  </si>
  <si>
    <t>Upstream NGLs</t>
  </si>
  <si>
    <t>Downstream NGLs</t>
  </si>
  <si>
    <t>Values</t>
  </si>
  <si>
    <t>Comments</t>
  </si>
  <si>
    <t>Equity Upstream Oil Intensity</t>
  </si>
  <si>
    <r>
      <t>kgCO</t>
    </r>
    <r>
      <rPr>
        <vertAlign val="subscript"/>
        <sz val="10"/>
        <color theme="1"/>
        <rFont val="Arial"/>
        <family val="2"/>
      </rPr>
      <t>2</t>
    </r>
    <r>
      <rPr>
        <sz val="10"/>
        <color theme="1"/>
        <rFont val="Arial"/>
        <family val="2"/>
      </rPr>
      <t>e/BOE</t>
    </r>
  </si>
  <si>
    <r>
      <t>kgCO</t>
    </r>
    <r>
      <rPr>
        <vertAlign val="subscript"/>
        <sz val="10"/>
        <color theme="1"/>
        <rFont val="Arial"/>
        <family val="2"/>
      </rPr>
      <t>2</t>
    </r>
    <r>
      <rPr>
        <sz val="10"/>
        <color theme="1"/>
        <rFont val="Arial"/>
        <family val="2"/>
      </rPr>
      <t>e/BBL</t>
    </r>
  </si>
  <si>
    <t>Equity Refining Intensity</t>
  </si>
  <si>
    <t>Transport Intensity</t>
  </si>
  <si>
    <t>End Use Intensity, HHV basis (tCO2e/MMBTU) multiplied by NGL HHV (BTU/BBL) divided by 1000</t>
  </si>
  <si>
    <t>NGL Input
(MBBL/day)</t>
  </si>
  <si>
    <r>
      <t>Value Chain Intensity, HHV Basis
(kgCO</t>
    </r>
    <r>
      <rPr>
        <i/>
        <vertAlign val="subscript"/>
        <sz val="10"/>
        <color theme="1"/>
        <rFont val="Arial"/>
        <family val="2"/>
      </rPr>
      <t>2</t>
    </r>
    <r>
      <rPr>
        <i/>
        <sz val="10"/>
        <color theme="1"/>
        <rFont val="Arial"/>
        <family val="2"/>
      </rPr>
      <t>e/BBL)</t>
    </r>
  </si>
  <si>
    <t>Value Chain Emissions, HHV Basis
(MMT CO2e/yr)</t>
  </si>
  <si>
    <t>Note: LPG not segregated.</t>
  </si>
  <si>
    <t>Calculates the NGL input (MBBL/day) for the applicable row segment</t>
  </si>
  <si>
    <t>NGL Input (MBBL/day) multiplied by days per year multiplied by NGL HHV (BTU/BBL) divided by 1000 divided by MMBTU/TJ Ratio</t>
  </si>
  <si>
    <t>Calculates the Upstream NGLs Value Chain Intensity, HHV Basis (kgCO2e/BBL) by adding Upstream Oil, Transport, and End Use intensities (kgCO2e/BBL)
Calculates the Downstream NGLs Value Chain Intensity, HHV Basis (kgCO2e/BBL) by adding Upstream Oil, Refining, Transport intensities (kgCO2e/BBL) dividing by BBL Refined Products / BBL Refinery Crude Input and adding the End Use Intensity (kgCO2e/BBL)</t>
  </si>
  <si>
    <t>NGL Input (MBBL/day) multiplied by Value Chain Intensity, HHV Basis (kgCO2e/BBL) multiplied by days per year divided by 1000000</t>
  </si>
  <si>
    <t>NGL Input (MBBL/day) multiplied by days per year multiplied by NGL LHV (BTU/BBL) divided by 1000 divided by MMBTU/TJ Ratio</t>
  </si>
  <si>
    <t>Hydrogen Calculations</t>
  </si>
  <si>
    <t>Hydrogen Type</t>
  </si>
  <si>
    <r>
      <t>kgCO</t>
    </r>
    <r>
      <rPr>
        <vertAlign val="subscript"/>
        <sz val="10"/>
        <color theme="1"/>
        <rFont val="Arial"/>
        <family val="2"/>
      </rPr>
      <t>2</t>
    </r>
    <r>
      <rPr>
        <sz val="10"/>
        <color theme="1"/>
        <rFont val="Arial"/>
        <family val="2"/>
      </rPr>
      <t>e/kgH</t>
    </r>
    <r>
      <rPr>
        <vertAlign val="subscript"/>
        <sz val="10"/>
        <color theme="1"/>
        <rFont val="Arial"/>
        <family val="2"/>
      </rPr>
      <t>2</t>
    </r>
  </si>
  <si>
    <t>Hydrogen HHV (BTU/CF)</t>
  </si>
  <si>
    <t>Hydrogen Density (g/CF)</t>
  </si>
  <si>
    <r>
      <t>Hydrogen Input
(MMT H</t>
    </r>
    <r>
      <rPr>
        <i/>
        <vertAlign val="subscript"/>
        <sz val="10"/>
        <color theme="1"/>
        <rFont val="Arial"/>
        <family val="2"/>
      </rPr>
      <t>2</t>
    </r>
    <r>
      <rPr>
        <i/>
        <sz val="10"/>
        <color theme="1"/>
        <rFont val="Arial"/>
        <family val="2"/>
      </rPr>
      <t>/yr)</t>
    </r>
  </si>
  <si>
    <t>Energy Delivered, HHV basis
(TJ/yr)</t>
  </si>
  <si>
    <r>
      <t>Value Chain Emissions 
(MMT CO</t>
    </r>
    <r>
      <rPr>
        <i/>
        <vertAlign val="subscript"/>
        <sz val="10"/>
        <color theme="1"/>
        <rFont val="Arial"/>
        <family val="2"/>
      </rPr>
      <t>2</t>
    </r>
    <r>
      <rPr>
        <i/>
        <sz val="10"/>
        <color theme="1"/>
        <rFont val="Arial"/>
        <family val="2"/>
      </rPr>
      <t>e/yr)</t>
    </r>
  </si>
  <si>
    <t>Energy Delivered, LHV basis
(TJ/yr)</t>
  </si>
  <si>
    <t>Total</t>
  </si>
  <si>
    <t>Hydrogen Input (MMT/yr) multiplied by 1 million divided by Hydrogen Density (g/CF) multiplied by Hydrogen HHV (BTU/CF) divided by MMBTU/TJ unit conversion</t>
  </si>
  <si>
    <t>Hydrogen input (MMT H2/yr) multiplied by Value Chain Emission Factor (kg CO2e/kg H2) for the relevant Hydrogen Type</t>
  </si>
  <si>
    <t>Energy Delivered, HHV basis (TJ/yr) multiplied by Hydrogen LHV/HHV Ratio</t>
  </si>
  <si>
    <t>Lower Carbon Power Calculations</t>
  </si>
  <si>
    <r>
      <t>gCO</t>
    </r>
    <r>
      <rPr>
        <i/>
        <vertAlign val="subscript"/>
        <sz val="10"/>
        <color theme="1"/>
        <rFont val="Arial"/>
        <family val="2"/>
      </rPr>
      <t>2</t>
    </r>
    <r>
      <rPr>
        <i/>
        <sz val="10"/>
        <color theme="1"/>
        <rFont val="Arial"/>
        <family val="2"/>
      </rPr>
      <t>e/kWh</t>
    </r>
  </si>
  <si>
    <t>Note: Reflects energy delivered to grid. Transportation and distribution losses are excluded.</t>
  </si>
  <si>
    <t>Generation Type</t>
  </si>
  <si>
    <t>Power
 (MWh/yr)</t>
  </si>
  <si>
    <t>Energy Delivered 
(TJ/yr)</t>
  </si>
  <si>
    <t>Power (MWh/yr) divided by MWh/TJ conversion factor</t>
  </si>
  <si>
    <t>Power (MWh/yr) multiplied by Value Chain Emission Factor for that generation type (gCO2e/kWh) divided by 1000 divided by 1 million</t>
  </si>
  <si>
    <t>Terms &amp; Conditions</t>
  </si>
  <si>
    <t>Version 4. Released May 2023.</t>
  </si>
  <si>
    <t>The PCI tool is subject to Chevron's website terms of use (https://www.chevron.com/terms-of-use).</t>
  </si>
  <si>
    <t>Please see the Chevron Climate Change Resilience Report from October 2021 for more details on the overall approach, methodology, and intent of PCI.</t>
  </si>
  <si>
    <t>Information in this tool is based on publicly-available data and information.  Internal analysis within Chevron may also include more site-specific or pathway-specific information that is confidential, proprietary, or commercially sensitive and may not be included in this tool.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</si>
</sst>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_(* \(#,##0\);_(* &quot;-&quot;_);_(@_)"/>
    <numFmt numFmtId="43" formatCode="_(* #,##0.00_);_(* \(#,##0.00\);_(* &quot;-&quot;??_);_(@_)"/>
    <numFmt numFmtId="164" formatCode="_(* #,##0_);_(* \(#,##0\);_(* &quot;-&quot;??_);_(@_)"/>
    <numFmt numFmtId="165" formatCode="0.0"/>
    <numFmt numFmtId="166" formatCode="0.000"/>
    <numFmt numFmtId="167" formatCode="_(* #,##0.0_);_(* \(#,##0.0\);_(* &quot;-&quot;?_);_(@_)"/>
    <numFmt numFmtId="168" formatCode="#,##0.0"/>
    <numFmt numFmtId="169" formatCode="#,##0.0_);\(#,##0.0\)"/>
    <numFmt numFmtId="170" formatCode="#,##0.000"/>
    <numFmt numFmtId="171" formatCode="#,##0.000000"/>
    <numFmt numFmtId="172" formatCode="0.00000000"/>
    <numFmt numFmtId="173" formatCode="0_);\(0\)"/>
  </numFmts>
  <fonts count="85">
    <font>
      <sz val="11"/>
      <color theme="1"/>
      <name val="Calibri"/>
      <family val="2"/>
      <scheme val="minor"/>
    </font>
    <font>
      <sz val="10"/>
      <color theme="1"/>
      <name val="Arial"/>
      <family val="2"/>
    </font>
    <font>
      <sz val="10"/>
      <color theme="1"/>
      <name val="Arial"/>
      <family val="2"/>
    </font>
    <font>
      <b/>
      <sz val="11"/>
      <color theme="1"/>
      <name val="Calibri"/>
      <family val="2"/>
      <scheme val="minor"/>
    </font>
    <font>
      <sz val="11"/>
      <color theme="1"/>
      <name val="Calibri"/>
      <family val="2"/>
      <scheme val="minor"/>
    </font>
    <font>
      <sz val="8"/>
      <name val="Calibri"/>
      <family val="2"/>
      <scheme val="minor"/>
    </font>
    <font>
      <sz val="12"/>
      <color theme="1"/>
      <name val="Calibri"/>
      <family val="2"/>
      <scheme val="minor"/>
    </font>
    <font>
      <sz val="9"/>
      <color indexed="81"/>
      <name val="Tahoma"/>
      <family val="2"/>
    </font>
    <font>
      <sz val="11"/>
      <color rgb="FFFF0000"/>
      <name val="Calibri"/>
      <family val="2"/>
      <scheme val="minor"/>
    </font>
    <font>
      <sz val="10"/>
      <name val="Arial"/>
      <family val="2"/>
    </font>
    <font>
      <sz val="12"/>
      <color rgb="FF000000"/>
      <name val="Calibri"/>
      <family val="2"/>
      <scheme val="minor"/>
    </font>
    <font>
      <u/>
      <sz val="11"/>
      <color theme="10"/>
      <name val="Calibri"/>
      <family val="2"/>
      <scheme val="minor"/>
    </font>
    <font>
      <b/>
      <sz val="11"/>
      <color theme="10"/>
      <name val="Calibri"/>
      <family val="2"/>
      <scheme val="minor"/>
    </font>
    <font>
      <sz val="16"/>
      <color theme="1"/>
      <name val="Calibri"/>
      <family val="2"/>
      <scheme val="minor"/>
    </font>
    <font>
      <sz val="22"/>
      <color theme="1"/>
      <name val="Calibri"/>
      <family val="2"/>
      <scheme val="minor"/>
    </font>
    <font>
      <b/>
      <sz val="11"/>
      <color theme="0" tint="-0.34998626667073579"/>
      <name val="Calibri"/>
      <family val="2"/>
      <scheme val="minor"/>
    </font>
    <font>
      <sz val="16"/>
      <color rgb="FFFF0000"/>
      <name val="Calibri"/>
      <family val="2"/>
      <scheme val="minor"/>
    </font>
    <font>
      <b/>
      <sz val="18"/>
      <color rgb="FF0B2D71"/>
      <name val="Arial"/>
      <family val="2"/>
    </font>
    <font>
      <b/>
      <sz val="14"/>
      <color rgb="FF0B2D71"/>
      <name val="Arial"/>
      <family val="2"/>
    </font>
    <font>
      <sz val="20"/>
      <color theme="1"/>
      <name val="Calibri"/>
      <family val="2"/>
      <scheme val="minor"/>
    </font>
    <font>
      <sz val="10"/>
      <color theme="1"/>
      <name val="Arial"/>
      <family val="2"/>
    </font>
    <font>
      <b/>
      <sz val="10"/>
      <color theme="1"/>
      <name val="Arial"/>
      <family val="2"/>
    </font>
    <font>
      <i/>
      <sz val="10"/>
      <color theme="1"/>
      <name val="Arial"/>
      <family val="2"/>
    </font>
    <font>
      <b/>
      <sz val="10"/>
      <color theme="0"/>
      <name val="Arial"/>
      <family val="2"/>
    </font>
    <font>
      <i/>
      <u/>
      <sz val="10"/>
      <color theme="10"/>
      <name val="Arial"/>
      <family val="2"/>
    </font>
    <font>
      <sz val="10"/>
      <color rgb="FFFF0000"/>
      <name val="Arial"/>
      <family val="2"/>
    </font>
    <font>
      <b/>
      <sz val="9"/>
      <color indexed="81"/>
      <name val="Tahoma"/>
      <family val="2"/>
    </font>
    <font>
      <b/>
      <u/>
      <sz val="9"/>
      <color indexed="81"/>
      <name val="Tahoma"/>
      <family val="2"/>
    </font>
    <font>
      <b/>
      <sz val="20"/>
      <color theme="1"/>
      <name val="Arial"/>
      <family val="2"/>
    </font>
    <font>
      <i/>
      <sz val="10"/>
      <color theme="0"/>
      <name val="Arial"/>
      <family val="2"/>
    </font>
    <font>
      <sz val="10"/>
      <color rgb="FFC00000"/>
      <name val="Arial"/>
      <family val="2"/>
    </font>
    <font>
      <i/>
      <vertAlign val="subscript"/>
      <sz val="10"/>
      <color theme="1"/>
      <name val="Arial"/>
      <family val="2"/>
    </font>
    <font>
      <sz val="10"/>
      <color rgb="FF008000"/>
      <name val="Arial"/>
      <family val="2"/>
    </font>
    <font>
      <u/>
      <sz val="10"/>
      <color theme="10"/>
      <name val="Arial"/>
      <family val="2"/>
    </font>
    <font>
      <i/>
      <sz val="10"/>
      <name val="Arial"/>
      <family val="2"/>
    </font>
    <font>
      <i/>
      <vertAlign val="superscript"/>
      <sz val="10"/>
      <name val="Arial"/>
      <family val="2"/>
    </font>
    <font>
      <i/>
      <vertAlign val="subscript"/>
      <sz val="10"/>
      <name val="Arial"/>
      <family val="2"/>
    </font>
    <font>
      <sz val="10"/>
      <color theme="0"/>
      <name val="Arial"/>
      <family val="2"/>
    </font>
    <font>
      <vertAlign val="subscript"/>
      <sz val="10"/>
      <color theme="1"/>
      <name val="Arial"/>
      <family val="2"/>
    </font>
    <font>
      <sz val="8"/>
      <color theme="6"/>
      <name val="Arial"/>
      <family val="2"/>
    </font>
    <font>
      <sz val="10"/>
      <color rgb="FF0070C0"/>
      <name val="Arial"/>
      <family val="2"/>
    </font>
    <font>
      <i/>
      <sz val="10"/>
      <color rgb="FF0070C0"/>
      <name val="Arial"/>
      <family val="2"/>
    </font>
    <font>
      <sz val="10"/>
      <color rgb="FF0000CC"/>
      <name val="Arial"/>
      <family val="2"/>
    </font>
    <font>
      <sz val="10"/>
      <color theme="4" tint="-0.249977111117893"/>
      <name val="Arial"/>
      <family val="2"/>
    </font>
    <font>
      <b/>
      <i/>
      <sz val="10"/>
      <color rgb="FF002060"/>
      <name val="Arial"/>
      <family val="2"/>
    </font>
    <font>
      <i/>
      <sz val="10"/>
      <color rgb="FF002060"/>
      <name val="Arial"/>
      <family val="2"/>
    </font>
    <font>
      <b/>
      <sz val="12"/>
      <color theme="1"/>
      <name val="Arial"/>
      <family val="2"/>
    </font>
    <font>
      <sz val="11"/>
      <color theme="1"/>
      <name val="Arial"/>
      <family val="2"/>
    </font>
    <font>
      <i/>
      <sz val="11"/>
      <color theme="1"/>
      <name val="Arial"/>
      <family val="2"/>
    </font>
    <font>
      <vertAlign val="subscript"/>
      <sz val="11"/>
      <color theme="1"/>
      <name val="Arial"/>
      <family val="2"/>
    </font>
    <font>
      <sz val="12"/>
      <color theme="1"/>
      <name val="Arial"/>
      <family val="2"/>
    </font>
    <font>
      <sz val="20"/>
      <color theme="1"/>
      <name val="Arial"/>
      <family val="2"/>
    </font>
    <font>
      <sz val="14"/>
      <color theme="1"/>
      <name val="Arial"/>
      <family val="2"/>
    </font>
    <font>
      <b/>
      <sz val="11"/>
      <color theme="1"/>
      <name val="Arial"/>
      <family val="2"/>
    </font>
    <font>
      <b/>
      <i/>
      <sz val="11"/>
      <color theme="1"/>
      <name val="Arial"/>
      <family val="2"/>
    </font>
    <font>
      <u/>
      <sz val="11"/>
      <color theme="10"/>
      <name val="Arial"/>
      <family val="2"/>
    </font>
    <font>
      <sz val="11"/>
      <name val="Arial"/>
      <family val="2"/>
    </font>
    <font>
      <i/>
      <sz val="11"/>
      <name val="Arial"/>
      <family val="2"/>
    </font>
    <font>
      <i/>
      <vertAlign val="superscript"/>
      <sz val="11"/>
      <name val="Arial"/>
      <family val="2"/>
    </font>
    <font>
      <i/>
      <vertAlign val="subscript"/>
      <sz val="11"/>
      <name val="Arial"/>
      <family val="2"/>
    </font>
    <font>
      <b/>
      <sz val="20"/>
      <color theme="0"/>
      <name val="Arial"/>
      <family val="2"/>
    </font>
    <font>
      <sz val="11"/>
      <color rgb="FF0000CC"/>
      <name val="Arial"/>
      <family val="2"/>
    </font>
    <font>
      <b/>
      <sz val="14"/>
      <color rgb="FF0000CC"/>
      <name val="Arial"/>
      <family val="2"/>
    </font>
    <font>
      <b/>
      <sz val="10"/>
      <color theme="4"/>
      <name val="Arial"/>
      <family val="2"/>
    </font>
    <font>
      <sz val="10"/>
      <color rgb="FF000000"/>
      <name val="Arial"/>
      <family val="2"/>
    </font>
    <font>
      <b/>
      <i/>
      <sz val="10"/>
      <color theme="1"/>
      <name val="Arial"/>
      <family val="2"/>
    </font>
    <font>
      <sz val="16"/>
      <color theme="1"/>
      <name val="Arial"/>
      <family val="2"/>
    </font>
    <font>
      <b/>
      <sz val="10"/>
      <color rgb="FF0000CC"/>
      <name val="Arial"/>
      <family val="2"/>
    </font>
    <font>
      <sz val="11"/>
      <color rgb="FF000000"/>
      <name val="Arial"/>
      <family val="2"/>
    </font>
    <font>
      <sz val="10"/>
      <color rgb="FF002060"/>
      <name val="Arial"/>
      <family val="2"/>
    </font>
    <font>
      <i/>
      <sz val="10"/>
      <color theme="6"/>
      <name val="Arial"/>
      <family val="2"/>
    </font>
    <font>
      <sz val="8"/>
      <color theme="1"/>
      <name val="Arial"/>
      <family val="2"/>
    </font>
    <font>
      <vertAlign val="superscript"/>
      <sz val="11"/>
      <color theme="1"/>
      <name val="Arial"/>
      <family val="2"/>
    </font>
    <font>
      <sz val="8"/>
      <name val="Arial"/>
      <family val="2"/>
    </font>
    <font>
      <sz val="8"/>
      <color rgb="FF000000"/>
      <name val="Arial"/>
      <family val="2"/>
    </font>
    <font>
      <i/>
      <vertAlign val="subscript"/>
      <sz val="10"/>
      <color theme="0"/>
      <name val="Arial"/>
      <family val="2"/>
    </font>
    <font>
      <i/>
      <sz val="12"/>
      <color theme="1"/>
      <name val="Arial"/>
      <family val="2"/>
    </font>
    <font>
      <i/>
      <sz val="10"/>
      <color rgb="FF000000"/>
      <name val="Arial"/>
      <family val="2"/>
    </font>
    <font>
      <i/>
      <vertAlign val="subscript"/>
      <sz val="10"/>
      <color rgb="FF000000"/>
      <name val="Arial"/>
      <family val="2"/>
    </font>
    <font>
      <i/>
      <sz val="10"/>
      <color rgb="FFFF0000"/>
      <name val="Arial"/>
      <family val="2"/>
    </font>
    <font>
      <sz val="11"/>
      <color indexed="81"/>
      <name val="Calibri"/>
      <family val="2"/>
      <scheme val="minor"/>
    </font>
    <font>
      <u/>
      <sz val="11"/>
      <color rgb="FF0070C0"/>
      <name val="Arial"/>
      <family val="2"/>
    </font>
    <font>
      <sz val="9"/>
      <color theme="1"/>
      <name val="Arial"/>
      <family val="2"/>
    </font>
    <font>
      <sz val="10"/>
      <color rgb="FF000000"/>
      <name val="Arial"/>
    </font>
    <font>
      <i/>
      <sz val="10"/>
      <color rgb="FF000000"/>
      <name val="Arial"/>
    </font>
  </fonts>
  <fills count="12">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theme="1"/>
        <bgColor indexed="64"/>
      </patternFill>
    </fill>
    <fill>
      <patternFill patternType="solid">
        <fgColor theme="4"/>
        <bgColor indexed="64"/>
      </patternFill>
    </fill>
    <fill>
      <patternFill patternType="solid">
        <fgColor rgb="FF92D050"/>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0070C0"/>
        <bgColor indexed="64"/>
      </patternFill>
    </fill>
    <fill>
      <patternFill patternType="solid">
        <fgColor theme="7" tint="0.79998168889431442"/>
        <bgColor indexed="64"/>
      </patternFill>
    </fill>
    <fill>
      <patternFill patternType="solid">
        <fgColor rgb="FF00206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hair">
        <color indexed="64"/>
      </top>
      <bottom/>
      <diagonal/>
    </border>
    <border>
      <left/>
      <right/>
      <top/>
      <bottom style="hair">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249977111117893"/>
      </left>
      <right/>
      <top/>
      <bottom/>
      <diagonal/>
    </border>
    <border>
      <left style="thin">
        <color theme="0" tint="-0.249977111117893"/>
      </left>
      <right/>
      <top style="thin">
        <color indexed="64"/>
      </top>
      <bottom style="thin">
        <color indexed="64"/>
      </bottom>
      <diagonal/>
    </border>
    <border>
      <left style="thin">
        <color theme="0" tint="-0.249977111117893"/>
      </left>
      <right/>
      <top style="thin">
        <color theme="0" tint="-0.249977111117893"/>
      </top>
      <bottom style="thin">
        <color indexed="64"/>
      </bottom>
      <diagonal/>
    </border>
    <border>
      <left style="thin">
        <color theme="0" tint="-0.249977111117893"/>
      </left>
      <right/>
      <top style="thin">
        <color indexed="64"/>
      </top>
      <bottom style="thin">
        <color theme="0" tint="-0.249977111117893"/>
      </bottom>
      <diagonal/>
    </border>
    <border>
      <left/>
      <right/>
      <top style="thin">
        <color theme="0" tint="-0.249977111117893"/>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style="thick">
        <color theme="2" tint="-9.9978637043366805E-2"/>
      </right>
      <top/>
      <bottom style="thick">
        <color theme="2" tint="-9.9978637043366805E-2"/>
      </bottom>
      <diagonal/>
    </border>
    <border>
      <left/>
      <right style="thick">
        <color theme="2" tint="-9.9978637043366805E-2"/>
      </right>
      <top/>
      <bottom/>
      <diagonal/>
    </border>
    <border>
      <left/>
      <right/>
      <top style="thick">
        <color theme="0" tint="-0.14999847407452621"/>
      </top>
      <bottom/>
      <diagonal/>
    </border>
    <border>
      <left/>
      <right style="thick">
        <color theme="2" tint="-9.9978637043366805E-2"/>
      </right>
      <top style="thick">
        <color theme="0" tint="-0.14999847407452621"/>
      </top>
      <bottom style="thick">
        <color theme="2" tint="-9.9978637043366805E-2"/>
      </bottom>
      <diagonal/>
    </border>
    <border>
      <left style="thick">
        <color theme="0" tint="-0.14999847407452621"/>
      </left>
      <right/>
      <top style="thick">
        <color theme="0" tint="-0.14999847407452621"/>
      </top>
      <bottom style="thick">
        <color theme="0" tint="-0.14999847407452621"/>
      </bottom>
      <diagonal/>
    </border>
    <border>
      <left/>
      <right/>
      <top/>
      <bottom style="thick">
        <color theme="0" tint="-0.14999847407452621"/>
      </bottom>
      <diagonal/>
    </border>
    <border>
      <left/>
      <right/>
      <top/>
      <bottom style="medium">
        <color rgb="FF0070C0"/>
      </bottom>
      <diagonal/>
    </border>
    <border>
      <left/>
      <right/>
      <top style="medium">
        <color rgb="FF0070C0"/>
      </top>
      <bottom style="medium">
        <color rgb="FF0070C0"/>
      </bottom>
      <diagonal/>
    </border>
    <border>
      <left/>
      <right/>
      <top/>
      <bottom style="hair">
        <color rgb="FF0070C0"/>
      </bottom>
      <diagonal/>
    </border>
    <border>
      <left/>
      <right/>
      <top style="thin">
        <color rgb="FF0070C0"/>
      </top>
      <bottom style="thin">
        <color rgb="FF0070C0"/>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top style="hair">
        <color rgb="FF0070C0"/>
      </top>
      <bottom/>
      <diagonal/>
    </border>
    <border>
      <left/>
      <right/>
      <top style="medium">
        <color rgb="FF0070C0"/>
      </top>
      <bottom style="hair">
        <color indexed="64"/>
      </bottom>
      <diagonal/>
    </border>
    <border>
      <left style="hair">
        <color indexed="64"/>
      </left>
      <right/>
      <top/>
      <bottom style="thin">
        <color indexed="64"/>
      </bottom>
      <diagonal/>
    </border>
    <border>
      <left style="hair">
        <color indexed="64"/>
      </left>
      <right/>
      <top/>
      <bottom/>
      <diagonal/>
    </border>
    <border>
      <left style="hair">
        <color indexed="64"/>
      </left>
      <right/>
      <top style="hair">
        <color indexed="64"/>
      </top>
      <bottom/>
      <diagonal/>
    </border>
    <border>
      <left/>
      <right/>
      <top/>
      <bottom style="thin">
        <color theme="6"/>
      </bottom>
      <diagonal/>
    </border>
    <border>
      <left/>
      <right/>
      <top style="thin">
        <color theme="6"/>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theme="6"/>
      </bottom>
      <diagonal/>
    </border>
    <border>
      <left style="thin">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hair">
        <color auto="1"/>
      </left>
      <right/>
      <top/>
      <bottom style="hair">
        <color indexed="64"/>
      </bottom>
      <diagonal/>
    </border>
    <border>
      <left/>
      <right style="hair">
        <color indexed="64"/>
      </right>
      <top/>
      <bottom/>
      <diagonal/>
    </border>
    <border>
      <left/>
      <right/>
      <top style="medium">
        <color theme="6"/>
      </top>
      <bottom style="thin">
        <color indexed="64"/>
      </bottom>
      <diagonal/>
    </border>
    <border>
      <left/>
      <right/>
      <top style="thin">
        <color indexed="64"/>
      </top>
      <bottom style="thin">
        <color indexed="64"/>
      </bottom>
      <diagonal/>
    </border>
  </borders>
  <cellStyleXfs count="6">
    <xf numFmtId="0" fontId="0" fillId="0" borderId="0"/>
    <xf numFmtId="43" fontId="4" fillId="0" borderId="0" applyFont="0" applyFill="0" applyBorder="0" applyAlignment="0" applyProtection="0"/>
    <xf numFmtId="9" fontId="4" fillId="0" borderId="0" applyFont="0" applyFill="0" applyBorder="0" applyAlignment="0" applyProtection="0"/>
    <xf numFmtId="0" fontId="9" fillId="0" borderId="0"/>
    <xf numFmtId="9" fontId="9" fillId="0" borderId="0" applyFont="0" applyFill="0" applyBorder="0" applyAlignment="0" applyProtection="0"/>
    <xf numFmtId="0" fontId="11" fillId="0" borderId="0" applyNumberFormat="0" applyFill="0" applyBorder="0" applyAlignment="0" applyProtection="0"/>
  </cellStyleXfs>
  <cellXfs count="393">
    <xf numFmtId="0" fontId="0" fillId="0" borderId="0" xfId="0"/>
    <xf numFmtId="0" fontId="0" fillId="0" borderId="0" xfId="0" applyAlignment="1">
      <alignment horizontal="left"/>
    </xf>
    <xf numFmtId="2" fontId="0" fillId="0" borderId="0" xfId="0" applyNumberFormat="1"/>
    <xf numFmtId="0" fontId="8" fillId="0" borderId="0" xfId="0" applyFont="1"/>
    <xf numFmtId="0" fontId="6" fillId="0" borderId="0" xfId="0" applyFont="1" applyAlignment="1">
      <alignment vertical="top" wrapText="1"/>
    </xf>
    <xf numFmtId="0" fontId="10" fillId="0" borderId="0" xfId="0" applyFont="1"/>
    <xf numFmtId="0" fontId="12" fillId="0" borderId="0" xfId="5" applyFont="1" applyAlignment="1" applyProtection="1">
      <alignment horizontal="center"/>
    </xf>
    <xf numFmtId="0" fontId="3" fillId="0" borderId="0" xfId="0" applyFont="1"/>
    <xf numFmtId="0" fontId="0" fillId="0" borderId="0" xfId="0" applyAlignment="1">
      <alignment vertical="top"/>
    </xf>
    <xf numFmtId="0" fontId="16" fillId="0" borderId="0" xfId="0" applyFont="1"/>
    <xf numFmtId="0" fontId="13" fillId="0" borderId="0" xfId="0" applyFont="1"/>
    <xf numFmtId="0" fontId="13" fillId="0" borderId="0" xfId="0" applyFont="1" applyAlignment="1">
      <alignment horizontal="left"/>
    </xf>
    <xf numFmtId="0" fontId="6" fillId="0" borderId="0" xfId="0" applyFont="1" applyAlignment="1">
      <alignment horizontal="left" vertical="top" wrapText="1"/>
    </xf>
    <xf numFmtId="0" fontId="14" fillId="0" borderId="0" xfId="0" applyFont="1" applyAlignment="1">
      <alignment horizontal="left"/>
    </xf>
    <xf numFmtId="0" fontId="15" fillId="0" borderId="0" xfId="0" applyFont="1"/>
    <xf numFmtId="0" fontId="13" fillId="0" borderId="0" xfId="0" applyFont="1" applyAlignment="1">
      <alignment vertical="top"/>
    </xf>
    <xf numFmtId="0" fontId="19" fillId="0" borderId="0" xfId="0" applyFont="1" applyAlignment="1">
      <alignment horizontal="center" vertical="top"/>
    </xf>
    <xf numFmtId="0" fontId="20" fillId="0" borderId="0" xfId="0" applyFont="1"/>
    <xf numFmtId="0" fontId="20" fillId="0" borderId="0" xfId="0" applyFont="1" applyAlignment="1">
      <alignment wrapText="1"/>
    </xf>
    <xf numFmtId="0" fontId="21" fillId="0" borderId="0" xfId="0" applyFont="1"/>
    <xf numFmtId="0" fontId="23" fillId="0" borderId="0" xfId="0" applyFont="1" applyAlignment="1">
      <alignment horizontal="center" vertical="center" wrapText="1"/>
    </xf>
    <xf numFmtId="0" fontId="22" fillId="0" borderId="0" xfId="0" applyFont="1" applyAlignment="1">
      <alignment horizontal="left" wrapText="1" indent="1"/>
    </xf>
    <xf numFmtId="0" fontId="22" fillId="0" borderId="0" xfId="0" applyFont="1" applyAlignment="1">
      <alignment horizontal="left" vertical="top" wrapText="1" indent="1"/>
    </xf>
    <xf numFmtId="0" fontId="24" fillId="0" borderId="0" xfId="5" applyFont="1" applyBorder="1" applyAlignment="1">
      <alignment horizontal="left" vertical="top" wrapText="1" indent="2"/>
    </xf>
    <xf numFmtId="0" fontId="28" fillId="0" borderId="0" xfId="0" applyFont="1"/>
    <xf numFmtId="0" fontId="22" fillId="0" borderId="0" xfId="0" applyFont="1" applyAlignment="1">
      <alignment horizontal="left"/>
    </xf>
    <xf numFmtId="0" fontId="30" fillId="0" borderId="0" xfId="0" applyFont="1"/>
    <xf numFmtId="3" fontId="32" fillId="0" borderId="0" xfId="0" applyNumberFormat="1" applyFont="1" applyAlignment="1">
      <alignment horizontal="center"/>
    </xf>
    <xf numFmtId="0" fontId="22" fillId="0" borderId="0" xfId="0" applyFont="1" applyAlignment="1">
      <alignment horizontal="center"/>
    </xf>
    <xf numFmtId="0" fontId="22" fillId="0" borderId="0" xfId="0" applyFont="1" applyAlignment="1">
      <alignment horizontal="center" wrapText="1"/>
    </xf>
    <xf numFmtId="0" fontId="22" fillId="0" borderId="28" xfId="0" applyFont="1" applyBorder="1" applyAlignment="1">
      <alignment horizontal="center" wrapText="1"/>
    </xf>
    <xf numFmtId="0" fontId="22" fillId="0" borderId="0" xfId="0" applyFont="1" applyAlignment="1">
      <alignment horizontal="right" wrapText="1"/>
    </xf>
    <xf numFmtId="0" fontId="34" fillId="0" borderId="0" xfId="0" applyFont="1" applyAlignment="1">
      <alignment horizontal="center" wrapText="1"/>
    </xf>
    <xf numFmtId="0" fontId="22" fillId="0" borderId="5" xfId="0" applyFont="1" applyBorder="1" applyAlignment="1">
      <alignment horizontal="center" wrapText="1"/>
    </xf>
    <xf numFmtId="0" fontId="9" fillId="0" borderId="0" xfId="0" applyFont="1" applyAlignment="1">
      <alignment horizontal="left"/>
    </xf>
    <xf numFmtId="0" fontId="9" fillId="0" borderId="0" xfId="0" applyFont="1"/>
    <xf numFmtId="0" fontId="22" fillId="0" borderId="0" xfId="0" applyFont="1" applyAlignment="1">
      <alignment horizontal="center" vertical="center"/>
    </xf>
    <xf numFmtId="0" fontId="22" fillId="0" borderId="30" xfId="0" applyFont="1" applyBorder="1" applyAlignment="1">
      <alignment horizontal="center" wrapText="1"/>
    </xf>
    <xf numFmtId="0" fontId="29" fillId="9" borderId="21" xfId="0" applyFont="1" applyFill="1" applyBorder="1" applyAlignment="1">
      <alignment horizontal="left"/>
    </xf>
    <xf numFmtId="0" fontId="29" fillId="9" borderId="21" xfId="0" applyFont="1" applyFill="1" applyBorder="1" applyAlignment="1">
      <alignment horizontal="center"/>
    </xf>
    <xf numFmtId="1" fontId="32" fillId="0" borderId="0" xfId="0" applyNumberFormat="1" applyFont="1" applyAlignment="1" applyProtection="1">
      <alignment horizontal="center"/>
      <protection locked="0"/>
    </xf>
    <xf numFmtId="166" fontId="32" fillId="0" borderId="0" xfId="0" applyNumberFormat="1" applyFont="1" applyAlignment="1">
      <alignment horizontal="center"/>
    </xf>
    <xf numFmtId="1" fontId="39" fillId="0" borderId="0" xfId="0" applyNumberFormat="1" applyFont="1"/>
    <xf numFmtId="0" fontId="39" fillId="0" borderId="0" xfId="0" applyFont="1"/>
    <xf numFmtId="3" fontId="32" fillId="0" borderId="2" xfId="0" applyNumberFormat="1" applyFont="1" applyBorder="1" applyAlignment="1">
      <alignment horizontal="center"/>
    </xf>
    <xf numFmtId="0" fontId="22" fillId="0" borderId="0" xfId="0" applyFont="1"/>
    <xf numFmtId="9" fontId="22" fillId="0" borderId="0" xfId="2" applyFont="1" applyAlignment="1">
      <alignment horizontal="center"/>
    </xf>
    <xf numFmtId="0" fontId="39" fillId="0" borderId="5" xfId="0" applyFont="1" applyBorder="1"/>
    <xf numFmtId="0" fontId="22" fillId="0" borderId="0" xfId="0" applyFont="1" applyAlignment="1">
      <alignment horizontal="left" wrapText="1"/>
    </xf>
    <xf numFmtId="0" fontId="21" fillId="10" borderId="34" xfId="0" applyFont="1" applyFill="1" applyBorder="1" applyAlignment="1">
      <alignment horizontal="left"/>
    </xf>
    <xf numFmtId="165" fontId="21" fillId="10" borderId="35" xfId="0" applyNumberFormat="1" applyFont="1" applyFill="1" applyBorder="1" applyAlignment="1">
      <alignment horizontal="center"/>
    </xf>
    <xf numFmtId="9" fontId="22" fillId="0" borderId="4" xfId="2" applyFont="1" applyFill="1" applyBorder="1" applyAlignment="1">
      <alignment horizontal="center"/>
    </xf>
    <xf numFmtId="9" fontId="22" fillId="0" borderId="0" xfId="2" applyFont="1" applyFill="1" applyAlignment="1">
      <alignment horizontal="center"/>
    </xf>
    <xf numFmtId="9" fontId="22" fillId="0" borderId="5" xfId="2" applyFont="1" applyFill="1" applyBorder="1" applyAlignment="1">
      <alignment horizontal="center"/>
    </xf>
    <xf numFmtId="3" fontId="32" fillId="0" borderId="4" xfId="1" applyNumberFormat="1" applyFont="1" applyFill="1" applyBorder="1" applyAlignment="1" applyProtection="1">
      <alignment horizontal="center"/>
      <protection locked="0"/>
    </xf>
    <xf numFmtId="3" fontId="32" fillId="0" borderId="0" xfId="1" applyNumberFormat="1" applyFont="1" applyFill="1" applyAlignment="1" applyProtection="1">
      <alignment horizontal="center"/>
      <protection locked="0"/>
    </xf>
    <xf numFmtId="3" fontId="32" fillId="0" borderId="5" xfId="1" applyNumberFormat="1" applyFont="1" applyFill="1" applyBorder="1" applyAlignment="1" applyProtection="1">
      <alignment horizontal="center"/>
      <protection locked="0"/>
    </xf>
    <xf numFmtId="0" fontId="22" fillId="0" borderId="28" xfId="0" applyFont="1" applyBorder="1" applyAlignment="1">
      <alignment horizontal="left" wrapText="1"/>
    </xf>
    <xf numFmtId="0" fontId="25" fillId="0" borderId="0" xfId="0" applyFont="1"/>
    <xf numFmtId="0" fontId="32" fillId="0" borderId="0" xfId="0" applyFont="1" applyAlignment="1" applyProtection="1">
      <alignment horizontal="center"/>
      <protection locked="0"/>
    </xf>
    <xf numFmtId="0" fontId="29" fillId="9" borderId="0" xfId="0" applyFont="1" applyFill="1" applyAlignment="1">
      <alignment horizontal="left"/>
    </xf>
    <xf numFmtId="0" fontId="29" fillId="9" borderId="0" xfId="0" applyFont="1" applyFill="1" applyAlignment="1">
      <alignment horizontal="center"/>
    </xf>
    <xf numFmtId="0" fontId="41" fillId="0" borderId="0" xfId="0" applyFont="1" applyAlignment="1">
      <alignment horizontal="left"/>
    </xf>
    <xf numFmtId="0" fontId="41" fillId="0" borderId="0" xfId="0" applyFont="1" applyAlignment="1">
      <alignment horizontal="center"/>
    </xf>
    <xf numFmtId="0" fontId="41" fillId="0" borderId="30" xfId="0" applyFont="1" applyBorder="1" applyAlignment="1">
      <alignment horizontal="center"/>
    </xf>
    <xf numFmtId="0" fontId="40" fillId="0" borderId="0" xfId="0" applyFont="1"/>
    <xf numFmtId="0" fontId="29" fillId="11" borderId="36" xfId="0" applyFont="1" applyFill="1" applyBorder="1" applyAlignment="1">
      <alignment horizontal="left"/>
    </xf>
    <xf numFmtId="0" fontId="22" fillId="0" borderId="5" xfId="0" applyFont="1" applyBorder="1" applyAlignment="1">
      <alignment horizontal="left" wrapText="1"/>
    </xf>
    <xf numFmtId="0" fontId="34" fillId="0" borderId="0" xfId="0" applyFont="1"/>
    <xf numFmtId="0" fontId="39" fillId="0" borderId="0" xfId="0" applyFont="1" applyAlignment="1">
      <alignment horizontal="center" vertical="top" wrapText="1"/>
    </xf>
    <xf numFmtId="0" fontId="21" fillId="0" borderId="0" xfId="0" applyFont="1" applyAlignment="1">
      <alignment horizontal="left"/>
    </xf>
    <xf numFmtId="165" fontId="21" fillId="0" borderId="0" xfId="0" applyNumberFormat="1" applyFont="1" applyAlignment="1">
      <alignment horizontal="center"/>
    </xf>
    <xf numFmtId="0" fontId="22" fillId="0" borderId="5" xfId="0" applyFont="1" applyBorder="1" applyAlignment="1">
      <alignment horizontal="center"/>
    </xf>
    <xf numFmtId="0" fontId="22" fillId="0" borderId="5" xfId="0" applyFont="1" applyBorder="1" applyAlignment="1">
      <alignment horizontal="left"/>
    </xf>
    <xf numFmtId="0" fontId="32" fillId="0" borderId="0" xfId="0" applyFont="1" applyAlignment="1">
      <alignment horizontal="center"/>
    </xf>
    <xf numFmtId="165" fontId="9" fillId="0" borderId="2" xfId="0" applyNumberFormat="1" applyFont="1" applyBorder="1" applyAlignment="1">
      <alignment horizontal="center"/>
    </xf>
    <xf numFmtId="3" fontId="9" fillId="0" borderId="0" xfId="1" applyNumberFormat="1" applyFont="1" applyFill="1" applyAlignment="1">
      <alignment horizontal="center"/>
    </xf>
    <xf numFmtId="0" fontId="37" fillId="9" borderId="0" xfId="0" applyFont="1" applyFill="1"/>
    <xf numFmtId="0" fontId="37" fillId="9" borderId="0" xfId="0" applyFont="1" applyFill="1" applyAlignment="1">
      <alignment horizontal="right"/>
    </xf>
    <xf numFmtId="3" fontId="32" fillId="0" borderId="0" xfId="1" applyNumberFormat="1" applyFont="1" applyFill="1" applyAlignment="1" applyProtection="1">
      <alignment horizontal="center"/>
    </xf>
    <xf numFmtId="0" fontId="32" fillId="0" borderId="0" xfId="0" applyFont="1" applyAlignment="1">
      <alignment horizontal="center" vertical="center"/>
    </xf>
    <xf numFmtId="0" fontId="22" fillId="0" borderId="4" xfId="0" applyFont="1" applyBorder="1" applyAlignment="1">
      <alignment horizontal="left"/>
    </xf>
    <xf numFmtId="0" fontId="22" fillId="0" borderId="40" xfId="0" applyFont="1" applyBorder="1" applyAlignment="1">
      <alignment horizontal="center" wrapText="1"/>
    </xf>
    <xf numFmtId="3" fontId="9" fillId="0" borderId="0" xfId="1" applyNumberFormat="1" applyFont="1" applyFill="1" applyBorder="1" applyAlignment="1">
      <alignment horizontal="center"/>
    </xf>
    <xf numFmtId="3" fontId="9" fillId="0" borderId="2" xfId="1" applyNumberFormat="1" applyFont="1" applyFill="1" applyBorder="1" applyAlignment="1">
      <alignment horizontal="center"/>
    </xf>
    <xf numFmtId="0" fontId="34" fillId="0" borderId="3" xfId="0" applyFont="1" applyBorder="1"/>
    <xf numFmtId="0" fontId="37" fillId="3" borderId="0" xfId="0" applyFont="1" applyFill="1" applyProtection="1">
      <protection locked="0"/>
    </xf>
    <xf numFmtId="0" fontId="37" fillId="0" borderId="0" xfId="0" applyFont="1"/>
    <xf numFmtId="0" fontId="43" fillId="0" borderId="22" xfId="0" applyFont="1" applyBorder="1" applyAlignment="1">
      <alignment horizontal="left" vertical="center" indent="3"/>
    </xf>
    <xf numFmtId="0" fontId="43" fillId="0" borderId="22" xfId="0" applyFont="1" applyBorder="1" applyAlignment="1">
      <alignment horizontal="left" vertical="center"/>
    </xf>
    <xf numFmtId="164" fontId="21" fillId="7" borderId="0" xfId="1" applyNumberFormat="1" applyFont="1" applyFill="1" applyBorder="1" applyAlignment="1" applyProtection="1">
      <alignment horizontal="left" vertical="center"/>
    </xf>
    <xf numFmtId="164" fontId="21" fillId="7" borderId="0" xfId="1" applyNumberFormat="1" applyFont="1" applyFill="1" applyBorder="1" applyAlignment="1" applyProtection="1">
      <alignment horizontal="center" vertical="center" wrapText="1"/>
    </xf>
    <xf numFmtId="164" fontId="21" fillId="7" borderId="0" xfId="1" applyNumberFormat="1" applyFont="1" applyFill="1" applyBorder="1" applyAlignment="1" applyProtection="1">
      <alignment horizontal="center" vertical="center"/>
    </xf>
    <xf numFmtId="0" fontId="21" fillId="7" borderId="0" xfId="0" applyFont="1" applyFill="1"/>
    <xf numFmtId="0" fontId="21" fillId="7" borderId="16" xfId="0" applyFont="1" applyFill="1" applyBorder="1"/>
    <xf numFmtId="0" fontId="9" fillId="7" borderId="0" xfId="0" applyFont="1" applyFill="1" applyAlignment="1">
      <alignment horizontal="left" indent="4"/>
    </xf>
    <xf numFmtId="165" fontId="21" fillId="0" borderId="24" xfId="1" applyNumberFormat="1" applyFont="1" applyBorder="1" applyAlignment="1" applyProtection="1">
      <alignment horizontal="center" vertical="center"/>
    </xf>
    <xf numFmtId="0" fontId="9" fillId="0" borderId="0" xfId="0" applyFont="1" applyAlignment="1">
      <alignment horizontal="left" wrapText="1"/>
    </xf>
    <xf numFmtId="165" fontId="21" fillId="0" borderId="0" xfId="0" applyNumberFormat="1" applyFont="1" applyAlignment="1">
      <alignment horizontal="left"/>
    </xf>
    <xf numFmtId="1" fontId="21" fillId="0" borderId="0" xfId="0" applyNumberFormat="1" applyFont="1" applyAlignment="1">
      <alignment horizontal="center"/>
    </xf>
    <xf numFmtId="165" fontId="21" fillId="0" borderId="0" xfId="1" applyNumberFormat="1" applyFont="1" applyBorder="1" applyAlignment="1">
      <alignment horizontal="center" vertical="center"/>
    </xf>
    <xf numFmtId="0" fontId="47" fillId="0" borderId="0" xfId="0" applyFont="1"/>
    <xf numFmtId="1" fontId="32" fillId="0" borderId="0" xfId="0" applyNumberFormat="1" applyFont="1" applyAlignment="1">
      <alignment horizontal="center"/>
    </xf>
    <xf numFmtId="0" fontId="29" fillId="9" borderId="0" xfId="0" applyFont="1" applyFill="1"/>
    <xf numFmtId="164" fontId="32" fillId="0" borderId="3" xfId="1" applyNumberFormat="1" applyFont="1" applyFill="1" applyBorder="1"/>
    <xf numFmtId="164" fontId="32" fillId="0" borderId="0" xfId="1" applyNumberFormat="1" applyFont="1" applyFill="1"/>
    <xf numFmtId="164" fontId="32" fillId="0" borderId="2" xfId="1" applyNumberFormat="1" applyFont="1" applyFill="1" applyBorder="1"/>
    <xf numFmtId="0" fontId="39" fillId="0" borderId="0" xfId="0" applyFont="1" applyAlignment="1">
      <alignment wrapText="1"/>
    </xf>
    <xf numFmtId="4" fontId="32" fillId="0" borderId="0" xfId="0" applyNumberFormat="1" applyFont="1" applyAlignment="1">
      <alignment horizontal="center"/>
    </xf>
    <xf numFmtId="3" fontId="32" fillId="0" borderId="3" xfId="0" applyNumberFormat="1" applyFont="1" applyBorder="1" applyAlignment="1">
      <alignment horizontal="center"/>
    </xf>
    <xf numFmtId="3" fontId="61" fillId="2" borderId="4" xfId="1" applyNumberFormat="1" applyFont="1" applyFill="1" applyBorder="1" applyAlignment="1" applyProtection="1">
      <alignment horizontal="center"/>
    </xf>
    <xf numFmtId="3" fontId="61" fillId="2" borderId="0" xfId="1" applyNumberFormat="1" applyFont="1" applyFill="1" applyAlignment="1" applyProtection="1">
      <alignment horizontal="center"/>
    </xf>
    <xf numFmtId="3" fontId="61" fillId="2" borderId="5" xfId="1" applyNumberFormat="1" applyFont="1" applyFill="1" applyBorder="1" applyAlignment="1" applyProtection="1">
      <alignment horizontal="center"/>
    </xf>
    <xf numFmtId="0" fontId="63" fillId="0" borderId="0" xfId="0" applyFont="1"/>
    <xf numFmtId="0" fontId="21" fillId="3" borderId="2" xfId="0" applyFont="1" applyFill="1" applyBorder="1"/>
    <xf numFmtId="0" fontId="22" fillId="0" borderId="20" xfId="0" applyFont="1" applyBorder="1" applyAlignment="1">
      <alignment horizontal="center"/>
    </xf>
    <xf numFmtId="0" fontId="22" fillId="0" borderId="20" xfId="0" applyFont="1" applyBorder="1" applyAlignment="1">
      <alignment horizontal="center" wrapText="1"/>
    </xf>
    <xf numFmtId="0" fontId="22" fillId="0" borderId="20" xfId="0" applyFont="1" applyBorder="1"/>
    <xf numFmtId="0" fontId="64" fillId="0" borderId="0" xfId="0" applyFont="1"/>
    <xf numFmtId="9" fontId="42" fillId="2" borderId="0" xfId="2" applyFont="1" applyFill="1" applyBorder="1" applyAlignment="1" applyProtection="1">
      <alignment horizontal="center" vertical="center"/>
      <protection locked="0"/>
    </xf>
    <xf numFmtId="164" fontId="42" fillId="2" borderId="18" xfId="1" applyNumberFormat="1" applyFont="1" applyFill="1" applyBorder="1" applyAlignment="1" applyProtection="1">
      <alignment horizontal="right" vertical="center"/>
      <protection locked="0"/>
    </xf>
    <xf numFmtId="165" fontId="46" fillId="8" borderId="25" xfId="0" applyNumberFormat="1" applyFont="1" applyFill="1" applyBorder="1" applyAlignment="1">
      <alignment horizontal="right" vertical="center"/>
    </xf>
    <xf numFmtId="165" fontId="46" fillId="8" borderId="22" xfId="0" applyNumberFormat="1" applyFont="1" applyFill="1" applyBorder="1" applyAlignment="1">
      <alignment horizontal="left" vertical="center"/>
    </xf>
    <xf numFmtId="0" fontId="65" fillId="0" borderId="0" xfId="0" applyFont="1"/>
    <xf numFmtId="0" fontId="66" fillId="0" borderId="0" xfId="0" applyFont="1" applyAlignment="1">
      <alignment vertical="top"/>
    </xf>
    <xf numFmtId="0" fontId="65" fillId="0" borderId="2" xfId="0" applyFont="1" applyBorder="1"/>
    <xf numFmtId="165" fontId="32" fillId="0" borderId="0" xfId="1" applyNumberFormat="1" applyFont="1" applyFill="1" applyBorder="1" applyAlignment="1" applyProtection="1">
      <alignment horizontal="center" vertical="center"/>
    </xf>
    <xf numFmtId="1" fontId="32" fillId="0" borderId="0" xfId="1" applyNumberFormat="1" applyFont="1" applyFill="1" applyBorder="1" applyAlignment="1" applyProtection="1">
      <alignment horizontal="center" vertical="center"/>
    </xf>
    <xf numFmtId="0" fontId="47" fillId="0" borderId="0" xfId="0" applyFont="1" applyAlignment="1">
      <alignment horizontal="left" vertical="center" wrapText="1"/>
    </xf>
    <xf numFmtId="3" fontId="56" fillId="0" borderId="0" xfId="1" applyNumberFormat="1" applyFont="1" applyFill="1" applyAlignment="1" applyProtection="1">
      <alignment horizontal="left" vertical="center" wrapText="1"/>
    </xf>
    <xf numFmtId="0" fontId="55" fillId="0" borderId="0" xfId="5" applyFont="1" applyFill="1" applyAlignment="1" applyProtection="1">
      <alignment horizontal="left" vertical="center" wrapText="1"/>
    </xf>
    <xf numFmtId="0" fontId="51" fillId="0" borderId="0" xfId="0" applyFont="1"/>
    <xf numFmtId="0" fontId="52" fillId="0" borderId="0" xfId="0" applyFont="1" applyAlignment="1">
      <alignment horizontal="left" vertical="center" indent="3"/>
    </xf>
    <xf numFmtId="0" fontId="60" fillId="11" borderId="36" xfId="0" applyFont="1" applyFill="1" applyBorder="1" applyAlignment="1">
      <alignment horizontal="left"/>
    </xf>
    <xf numFmtId="0" fontId="53" fillId="0" borderId="42" xfId="0" applyFont="1" applyBorder="1"/>
    <xf numFmtId="0" fontId="54" fillId="0" borderId="42" xfId="0" applyFont="1" applyBorder="1" applyAlignment="1">
      <alignment horizontal="center"/>
    </xf>
    <xf numFmtId="0" fontId="54" fillId="0" borderId="42" xfId="0" applyFont="1" applyBorder="1" applyAlignment="1">
      <alignment horizontal="center" wrapText="1"/>
    </xf>
    <xf numFmtId="0" fontId="54" fillId="0" borderId="42" xfId="0" applyFont="1" applyBorder="1" applyAlignment="1">
      <alignment horizontal="left"/>
    </xf>
    <xf numFmtId="0" fontId="18" fillId="0" borderId="23" xfId="0" applyFont="1" applyBorder="1"/>
    <xf numFmtId="0" fontId="47" fillId="0" borderId="0" xfId="0" applyFont="1" applyAlignment="1">
      <alignment horizontal="left"/>
    </xf>
    <xf numFmtId="1" fontId="61" fillId="2" borderId="0" xfId="0" applyNumberFormat="1" applyFont="1" applyFill="1" applyAlignment="1">
      <alignment horizontal="center" vertical="center"/>
    </xf>
    <xf numFmtId="0" fontId="62" fillId="0" borderId="23" xfId="0" applyFont="1" applyBorder="1"/>
    <xf numFmtId="0" fontId="47" fillId="0" borderId="0" xfId="0" applyFont="1" applyAlignment="1">
      <alignment horizontal="left" vertical="center"/>
    </xf>
    <xf numFmtId="166" fontId="61" fillId="2" borderId="0" xfId="0" applyNumberFormat="1" applyFont="1" applyFill="1" applyAlignment="1">
      <alignment horizontal="center" vertical="center"/>
    </xf>
    <xf numFmtId="170" fontId="61" fillId="2" borderId="0" xfId="0" applyNumberFormat="1" applyFont="1" applyFill="1" applyAlignment="1">
      <alignment horizontal="center" vertical="center"/>
    </xf>
    <xf numFmtId="3" fontId="61" fillId="2" borderId="0" xfId="0" applyNumberFormat="1" applyFont="1" applyFill="1" applyAlignment="1">
      <alignment horizontal="center" vertical="center"/>
    </xf>
    <xf numFmtId="0" fontId="18" fillId="0" borderId="23" xfId="0" applyFont="1" applyBorder="1" applyAlignment="1">
      <alignment vertical="center"/>
    </xf>
    <xf numFmtId="3" fontId="61" fillId="2" borderId="0" xfId="1" applyNumberFormat="1" applyFont="1" applyFill="1" applyAlignment="1" applyProtection="1">
      <alignment horizontal="center" vertical="center"/>
    </xf>
    <xf numFmtId="0" fontId="47" fillId="0" borderId="0" xfId="0" applyFont="1" applyAlignment="1">
      <alignment vertical="center"/>
    </xf>
    <xf numFmtId="0" fontId="61" fillId="2" borderId="0" xfId="0" applyFont="1" applyFill="1" applyAlignment="1">
      <alignment horizontal="center" vertical="center"/>
    </xf>
    <xf numFmtId="2" fontId="61" fillId="2" borderId="0" xfId="0" applyNumberFormat="1" applyFont="1" applyFill="1" applyAlignment="1">
      <alignment horizontal="center" vertical="center"/>
    </xf>
    <xf numFmtId="2" fontId="47" fillId="0" borderId="0" xfId="0" applyNumberFormat="1" applyFont="1" applyAlignment="1">
      <alignment horizontal="center" vertical="center"/>
    </xf>
    <xf numFmtId="0" fontId="62" fillId="0" borderId="23" xfId="0" applyFont="1" applyBorder="1" applyAlignment="1">
      <alignment vertical="center"/>
    </xf>
    <xf numFmtId="4" fontId="61" fillId="2" borderId="0" xfId="0" applyNumberFormat="1" applyFont="1" applyFill="1" applyAlignment="1">
      <alignment horizontal="center" vertical="center"/>
    </xf>
    <xf numFmtId="0" fontId="60" fillId="0" borderId="0" xfId="0" applyFont="1" applyAlignment="1">
      <alignment horizontal="left"/>
    </xf>
    <xf numFmtId="0" fontId="53" fillId="0" borderId="2" xfId="0" applyFont="1" applyBorder="1"/>
    <xf numFmtId="0" fontId="54" fillId="0" borderId="2" xfId="0" applyFont="1" applyBorder="1" applyAlignment="1">
      <alignment horizontal="center"/>
    </xf>
    <xf numFmtId="0" fontId="54" fillId="0" borderId="2" xfId="0" applyFont="1" applyBorder="1" applyAlignment="1">
      <alignment horizontal="center" wrapText="1"/>
    </xf>
    <xf numFmtId="0" fontId="17" fillId="0" borderId="0" xfId="0" applyFont="1" applyAlignment="1">
      <alignment horizontal="center"/>
    </xf>
    <xf numFmtId="0" fontId="48" fillId="0" borderId="0" xfId="0" applyFont="1" applyAlignment="1">
      <alignment horizontal="left"/>
    </xf>
    <xf numFmtId="0" fontId="48" fillId="0" borderId="0" xfId="0" applyFont="1" applyAlignment="1">
      <alignment horizontal="center"/>
    </xf>
    <xf numFmtId="168" fontId="61" fillId="2" borderId="0" xfId="0" applyNumberFormat="1" applyFont="1" applyFill="1" applyAlignment="1">
      <alignment horizontal="center" vertical="center"/>
    </xf>
    <xf numFmtId="0" fontId="61" fillId="0" borderId="0" xfId="0" applyFont="1"/>
    <xf numFmtId="165" fontId="61" fillId="2" borderId="0" xfId="0" applyNumberFormat="1" applyFont="1" applyFill="1" applyAlignment="1">
      <alignment horizontal="center" vertical="center"/>
    </xf>
    <xf numFmtId="0" fontId="57" fillId="0" borderId="0" xfId="0" applyFont="1" applyAlignment="1">
      <alignment horizontal="center" wrapText="1"/>
    </xf>
    <xf numFmtId="0" fontId="47" fillId="0" borderId="4" xfId="0" applyFont="1" applyBorder="1" applyAlignment="1">
      <alignment horizontal="left"/>
    </xf>
    <xf numFmtId="0" fontId="47" fillId="0" borderId="5" xfId="0" applyFont="1" applyBorder="1" applyAlignment="1">
      <alignment horizontal="left"/>
    </xf>
    <xf numFmtId="0" fontId="54" fillId="0" borderId="0" xfId="0" applyFont="1" applyAlignment="1">
      <alignment horizontal="right"/>
    </xf>
    <xf numFmtId="171" fontId="32" fillId="0" borderId="4" xfId="1" applyNumberFormat="1" applyFont="1" applyFill="1" applyBorder="1" applyAlignment="1" applyProtection="1">
      <alignment horizontal="center"/>
      <protection locked="0"/>
    </xf>
    <xf numFmtId="171" fontId="32" fillId="0" borderId="0" xfId="1" applyNumberFormat="1" applyFont="1" applyFill="1" applyAlignment="1" applyProtection="1">
      <alignment horizontal="center"/>
      <protection locked="0"/>
    </xf>
    <xf numFmtId="171" fontId="32" fillId="0" borderId="5" xfId="1" applyNumberFormat="1" applyFont="1" applyFill="1" applyBorder="1" applyAlignment="1" applyProtection="1">
      <alignment horizontal="center"/>
      <protection locked="0"/>
    </xf>
    <xf numFmtId="171" fontId="61" fillId="2" borderId="4" xfId="1" applyNumberFormat="1" applyFont="1" applyFill="1" applyBorder="1" applyAlignment="1" applyProtection="1">
      <alignment horizontal="center"/>
    </xf>
    <xf numFmtId="171" fontId="61" fillId="2" borderId="0" xfId="1" applyNumberFormat="1" applyFont="1" applyFill="1" applyAlignment="1" applyProtection="1">
      <alignment horizontal="center"/>
    </xf>
    <xf numFmtId="171" fontId="61" fillId="2" borderId="5" xfId="1" applyNumberFormat="1" applyFont="1" applyFill="1" applyBorder="1" applyAlignment="1" applyProtection="1">
      <alignment horizontal="center"/>
    </xf>
    <xf numFmtId="0" fontId="18" fillId="0" borderId="23" xfId="0" applyFont="1" applyBorder="1" applyAlignment="1">
      <alignment horizontal="left"/>
    </xf>
    <xf numFmtId="1" fontId="47" fillId="0" borderId="0" xfId="0" applyNumberFormat="1" applyFont="1" applyAlignment="1">
      <alignment horizontal="left" vertical="center"/>
    </xf>
    <xf numFmtId="3" fontId="47" fillId="0" borderId="0" xfId="0" applyNumberFormat="1" applyFont="1" applyAlignment="1">
      <alignment horizontal="left" vertical="center"/>
    </xf>
    <xf numFmtId="0" fontId="18" fillId="0" borderId="23" xfId="0" applyFont="1" applyBorder="1" applyAlignment="1">
      <alignment horizontal="left" vertical="center"/>
    </xf>
    <xf numFmtId="0" fontId="54" fillId="0" borderId="2" xfId="0" applyFont="1" applyBorder="1" applyAlignment="1">
      <alignment horizontal="left"/>
    </xf>
    <xf numFmtId="3" fontId="47" fillId="0" borderId="0" xfId="0" applyNumberFormat="1" applyFont="1" applyAlignment="1">
      <alignment horizontal="left" vertical="center" wrapText="1"/>
    </xf>
    <xf numFmtId="165" fontId="47" fillId="0" borderId="0" xfId="0" applyNumberFormat="1" applyFont="1" applyAlignment="1">
      <alignment horizontal="left" vertical="center" wrapText="1"/>
    </xf>
    <xf numFmtId="172" fontId="61" fillId="2" borderId="0" xfId="0" applyNumberFormat="1" applyFont="1" applyFill="1" applyAlignment="1">
      <alignment horizontal="center" vertical="center"/>
    </xf>
    <xf numFmtId="172" fontId="32" fillId="0" borderId="0" xfId="0" applyNumberFormat="1" applyFont="1" applyAlignment="1">
      <alignment horizontal="center"/>
    </xf>
    <xf numFmtId="0" fontId="22" fillId="0" borderId="2" xfId="0" applyFont="1" applyBorder="1" applyAlignment="1">
      <alignment horizontal="left"/>
    </xf>
    <xf numFmtId="172" fontId="61" fillId="2" borderId="0" xfId="0" applyNumberFormat="1" applyFont="1" applyFill="1" applyAlignment="1">
      <alignment horizontal="center"/>
    </xf>
    <xf numFmtId="2" fontId="32" fillId="0" borderId="0" xfId="0" applyNumberFormat="1" applyFont="1" applyAlignment="1">
      <alignment horizontal="center"/>
    </xf>
    <xf numFmtId="0" fontId="56" fillId="0" borderId="0" xfId="0" applyFont="1"/>
    <xf numFmtId="0" fontId="21" fillId="0" borderId="0" xfId="0" applyFont="1" applyAlignment="1">
      <alignment horizontal="center"/>
    </xf>
    <xf numFmtId="0" fontId="22" fillId="0" borderId="0" xfId="0" applyFont="1" applyAlignment="1">
      <alignment horizontal="left" vertical="center" wrapText="1" indent="1"/>
    </xf>
    <xf numFmtId="4" fontId="68" fillId="0" borderId="0" xfId="0" applyNumberFormat="1" applyFont="1" applyAlignment="1">
      <alignment horizontal="left" vertical="center"/>
    </xf>
    <xf numFmtId="0" fontId="56" fillId="0" borderId="0" xfId="5" applyFont="1" applyFill="1" applyAlignment="1">
      <alignment vertical="center" wrapText="1"/>
    </xf>
    <xf numFmtId="0" fontId="2" fillId="0" borderId="0" xfId="0" applyFont="1"/>
    <xf numFmtId="0" fontId="69" fillId="0" borderId="0" xfId="0" applyFont="1"/>
    <xf numFmtId="0" fontId="9" fillId="7" borderId="0" xfId="0" applyFont="1" applyFill="1" applyAlignment="1">
      <alignment horizontal="left" wrapText="1" indent="4"/>
    </xf>
    <xf numFmtId="3" fontId="42" fillId="2" borderId="0" xfId="1" applyNumberFormat="1" applyFont="1" applyFill="1" applyAlignment="1">
      <alignment horizontal="center"/>
    </xf>
    <xf numFmtId="3" fontId="42" fillId="2" borderId="2" xfId="1" applyNumberFormat="1" applyFont="1" applyFill="1" applyBorder="1" applyAlignment="1">
      <alignment horizontal="center"/>
    </xf>
    <xf numFmtId="3" fontId="42" fillId="2" borderId="0" xfId="1" applyNumberFormat="1" applyFont="1" applyFill="1" applyBorder="1" applyAlignment="1">
      <alignment horizontal="center"/>
    </xf>
    <xf numFmtId="9" fontId="42" fillId="2" borderId="0" xfId="0" applyNumberFormat="1" applyFont="1" applyFill="1" applyAlignment="1">
      <alignment horizontal="center"/>
    </xf>
    <xf numFmtId="9" fontId="42" fillId="2" borderId="2" xfId="0" applyNumberFormat="1" applyFont="1" applyFill="1" applyBorder="1" applyAlignment="1">
      <alignment horizontal="center"/>
    </xf>
    <xf numFmtId="165" fontId="21" fillId="0" borderId="24" xfId="0" applyNumberFormat="1" applyFont="1" applyBorder="1" applyAlignment="1">
      <alignment horizontal="center" vertical="center"/>
    </xf>
    <xf numFmtId="1" fontId="21" fillId="0" borderId="24" xfId="0" applyNumberFormat="1" applyFont="1" applyBorder="1" applyAlignment="1">
      <alignment horizontal="center" vertical="center"/>
    </xf>
    <xf numFmtId="0" fontId="67" fillId="7" borderId="0" xfId="0" applyFont="1" applyFill="1" applyAlignment="1">
      <alignment horizontal="right" vertical="center"/>
    </xf>
    <xf numFmtId="164" fontId="42" fillId="2" borderId="15" xfId="1" applyNumberFormat="1" applyFont="1" applyFill="1" applyBorder="1" applyAlignment="1" applyProtection="1">
      <alignment horizontal="right" vertical="center"/>
      <protection locked="0"/>
    </xf>
    <xf numFmtId="0" fontId="43" fillId="0" borderId="0" xfId="0" applyFont="1" applyAlignment="1">
      <alignment horizontal="left" vertical="center"/>
    </xf>
    <xf numFmtId="0" fontId="43" fillId="0" borderId="0" xfId="0" applyFont="1" applyAlignment="1">
      <alignment horizontal="left" vertical="center" indent="3"/>
    </xf>
    <xf numFmtId="165" fontId="46" fillId="0" borderId="0" xfId="0" applyNumberFormat="1" applyFont="1" applyAlignment="1">
      <alignment horizontal="right" vertical="center"/>
    </xf>
    <xf numFmtId="165" fontId="46" fillId="0" borderId="0" xfId="0" applyNumberFormat="1" applyFont="1" applyAlignment="1">
      <alignment horizontal="left" vertical="center"/>
    </xf>
    <xf numFmtId="0" fontId="22" fillId="0" borderId="0" xfId="0" applyFont="1" applyAlignment="1">
      <alignment horizontal="left" vertical="center" indent="3"/>
    </xf>
    <xf numFmtId="0" fontId="39" fillId="0" borderId="2" xfId="0" applyFont="1" applyBorder="1"/>
    <xf numFmtId="0" fontId="40" fillId="0" borderId="37" xfId="0" applyFont="1" applyBorder="1" applyAlignment="1">
      <alignment horizontal="left" vertical="center" wrapText="1" indent="2"/>
    </xf>
    <xf numFmtId="0" fontId="70" fillId="0" borderId="0" xfId="0" applyFont="1"/>
    <xf numFmtId="3" fontId="34" fillId="0" borderId="0" xfId="0" applyNumberFormat="1" applyFont="1" applyAlignment="1">
      <alignment horizontal="left"/>
    </xf>
    <xf numFmtId="0" fontId="39" fillId="0" borderId="0" xfId="0" quotePrefix="1" applyFont="1"/>
    <xf numFmtId="0" fontId="71" fillId="0" borderId="0" xfId="0" applyFont="1"/>
    <xf numFmtId="0" fontId="71" fillId="0" borderId="23" xfId="0" applyFont="1" applyBorder="1" applyAlignment="1">
      <alignment horizontal="left" vertical="center" wrapText="1"/>
    </xf>
    <xf numFmtId="0" fontId="71" fillId="0" borderId="0" xfId="0" applyFont="1" applyAlignment="1">
      <alignment horizontal="left"/>
    </xf>
    <xf numFmtId="3" fontId="71" fillId="0" borderId="0" xfId="0" applyNumberFormat="1" applyFont="1" applyAlignment="1">
      <alignment horizontal="left"/>
    </xf>
    <xf numFmtId="0" fontId="73" fillId="0" borderId="0" xfId="0" applyFont="1" applyAlignment="1">
      <alignment vertical="center"/>
    </xf>
    <xf numFmtId="3" fontId="73" fillId="0" borderId="0" xfId="0" applyNumberFormat="1" applyFont="1" applyAlignment="1">
      <alignment vertical="center"/>
    </xf>
    <xf numFmtId="0" fontId="73" fillId="0" borderId="0" xfId="0" applyFont="1"/>
    <xf numFmtId="165" fontId="32" fillId="0" borderId="0" xfId="1" applyNumberFormat="1" applyFont="1" applyAlignment="1">
      <alignment horizontal="center" vertical="center"/>
    </xf>
    <xf numFmtId="165" fontId="32" fillId="0" borderId="0" xfId="0" applyNumberFormat="1" applyFont="1" applyAlignment="1">
      <alignment horizontal="center" vertical="center"/>
    </xf>
    <xf numFmtId="0" fontId="24" fillId="0" borderId="0" xfId="5" applyFont="1" applyFill="1" applyBorder="1" applyAlignment="1">
      <alignment horizontal="left" vertical="top" wrapText="1" indent="2"/>
    </xf>
    <xf numFmtId="43" fontId="42" fillId="2" borderId="15" xfId="1" applyFont="1" applyFill="1" applyBorder="1" applyAlignment="1" applyProtection="1">
      <alignment horizontal="right" vertical="center"/>
      <protection locked="0"/>
    </xf>
    <xf numFmtId="3" fontId="47" fillId="0" borderId="0" xfId="1" applyNumberFormat="1" applyFont="1" applyFill="1" applyAlignment="1" applyProtection="1">
      <alignment horizontal="left" vertical="top"/>
    </xf>
    <xf numFmtId="0" fontId="39" fillId="0" borderId="0" xfId="0" applyFont="1" applyAlignment="1">
      <alignment horizontal="center" vertical="top"/>
    </xf>
    <xf numFmtId="0" fontId="22" fillId="0" borderId="0" xfId="0" applyFont="1" applyAlignment="1">
      <alignment horizontal="center" vertical="center" wrapText="1"/>
    </xf>
    <xf numFmtId="0" fontId="71" fillId="0" borderId="0" xfId="0" applyFont="1" applyAlignment="1">
      <alignment horizontal="left" wrapText="1"/>
    </xf>
    <xf numFmtId="0" fontId="20" fillId="0" borderId="0" xfId="0" applyFont="1" applyAlignment="1">
      <alignment vertical="center"/>
    </xf>
    <xf numFmtId="0" fontId="56" fillId="0" borderId="0" xfId="0" applyFont="1" applyAlignment="1">
      <alignment horizontal="left" vertical="center" wrapText="1"/>
    </xf>
    <xf numFmtId="0" fontId="71" fillId="0" borderId="0" xfId="0" applyFont="1" applyAlignment="1">
      <alignment horizontal="left" vertical="center" wrapText="1"/>
    </xf>
    <xf numFmtId="0" fontId="37" fillId="9" borderId="0" xfId="0" applyFont="1" applyFill="1" applyAlignment="1">
      <alignment horizontal="left"/>
    </xf>
    <xf numFmtId="165" fontId="74" fillId="0" borderId="0" xfId="0" applyNumberFormat="1" applyFont="1" applyAlignment="1">
      <alignment horizontal="left" vertical="center" wrapText="1"/>
    </xf>
    <xf numFmtId="0" fontId="76" fillId="0" borderId="0" xfId="0" applyFont="1" applyAlignment="1">
      <alignment horizontal="left" wrapText="1"/>
    </xf>
    <xf numFmtId="0" fontId="48" fillId="0" borderId="0" xfId="0" applyFont="1" applyAlignment="1">
      <alignment horizontal="center" vertical="center" wrapText="1"/>
    </xf>
    <xf numFmtId="0" fontId="39" fillId="0" borderId="5" xfId="0" quotePrefix="1" applyFont="1" applyBorder="1"/>
    <xf numFmtId="0" fontId="77" fillId="0" borderId="0" xfId="0" applyFont="1" applyAlignment="1">
      <alignment horizontal="center" wrapText="1"/>
    </xf>
    <xf numFmtId="0" fontId="77" fillId="0" borderId="0" xfId="0" applyFont="1" applyAlignment="1">
      <alignment horizontal="left" vertical="top" wrapText="1"/>
    </xf>
    <xf numFmtId="3" fontId="81" fillId="0" borderId="0" xfId="5" applyNumberFormat="1" applyFont="1" applyFill="1" applyAlignment="1" applyProtection="1">
      <alignment horizontal="left" vertical="center" wrapText="1"/>
    </xf>
    <xf numFmtId="0" fontId="64" fillId="0" borderId="1" xfId="0" applyFont="1" applyBorder="1" applyAlignment="1">
      <alignment horizontal="center" vertical="center"/>
    </xf>
    <xf numFmtId="15" fontId="64" fillId="0" borderId="1" xfId="0" applyNumberFormat="1" applyFont="1" applyBorder="1" applyAlignment="1">
      <alignment horizontal="center" vertical="center"/>
    </xf>
    <xf numFmtId="3" fontId="32" fillId="0" borderId="0" xfId="1" applyNumberFormat="1" applyFont="1" applyFill="1" applyAlignment="1" applyProtection="1">
      <alignment horizontal="center" vertical="top"/>
    </xf>
    <xf numFmtId="3" fontId="32" fillId="0" borderId="4" xfId="0" applyNumberFormat="1" applyFont="1" applyBorder="1" applyAlignment="1">
      <alignment horizontal="center"/>
    </xf>
    <xf numFmtId="3" fontId="32" fillId="0" borderId="5" xfId="0" applyNumberFormat="1" applyFont="1" applyBorder="1" applyAlignment="1">
      <alignment horizontal="center"/>
    </xf>
    <xf numFmtId="0" fontId="11" fillId="0" borderId="0" xfId="5"/>
    <xf numFmtId="0" fontId="55" fillId="0" borderId="0" xfId="5" applyFont="1" applyAlignment="1">
      <alignment wrapText="1"/>
    </xf>
    <xf numFmtId="0" fontId="29" fillId="0" borderId="0" xfId="0" applyFont="1" applyAlignment="1">
      <alignment horizontal="left"/>
    </xf>
    <xf numFmtId="0" fontId="1" fillId="0" borderId="0" xfId="0" applyFont="1"/>
    <xf numFmtId="0" fontId="1" fillId="0" borderId="0" xfId="0" applyFont="1" applyAlignment="1">
      <alignment vertical="top" wrapText="1"/>
    </xf>
    <xf numFmtId="0" fontId="1" fillId="0" borderId="0" xfId="0" applyFont="1" applyAlignment="1">
      <alignment wrapText="1"/>
    </xf>
    <xf numFmtId="0" fontId="1" fillId="0" borderId="33" xfId="0" applyFont="1" applyBorder="1" applyAlignment="1">
      <alignment horizontal="left" wrapText="1"/>
    </xf>
    <xf numFmtId="0" fontId="1" fillId="0" borderId="32" xfId="0" applyFont="1" applyBorder="1" applyAlignment="1">
      <alignment horizontal="left" vertical="top" wrapText="1" indent="1"/>
    </xf>
    <xf numFmtId="0" fontId="1" fillId="0" borderId="33" xfId="0" applyFont="1" applyBorder="1" applyAlignment="1">
      <alignment horizontal="left" vertical="top" wrapText="1"/>
    </xf>
    <xf numFmtId="0" fontId="1" fillId="0" borderId="33" xfId="0" applyFont="1" applyBorder="1" applyAlignment="1">
      <alignment horizontal="left" vertical="top" wrapText="1" indent="1"/>
    </xf>
    <xf numFmtId="0" fontId="1" fillId="0" borderId="32" xfId="0" applyFont="1" applyBorder="1" applyAlignment="1">
      <alignment vertical="top" wrapText="1"/>
    </xf>
    <xf numFmtId="0" fontId="1" fillId="0" borderId="33" xfId="0" applyFont="1" applyBorder="1" applyAlignment="1">
      <alignment wrapText="1"/>
    </xf>
    <xf numFmtId="0" fontId="1" fillId="0" borderId="32" xfId="0" applyFont="1" applyBorder="1" applyAlignment="1">
      <alignment wrapText="1"/>
    </xf>
    <xf numFmtId="0" fontId="1" fillId="0" borderId="33" xfId="0" applyFont="1" applyBorder="1" applyAlignment="1">
      <alignment vertical="top" wrapText="1"/>
    </xf>
    <xf numFmtId="0" fontId="1" fillId="0" borderId="0" xfId="0" applyFont="1" applyAlignment="1">
      <alignment vertical="top"/>
    </xf>
    <xf numFmtId="0" fontId="1" fillId="2" borderId="1" xfId="0" applyFont="1" applyFill="1" applyBorder="1"/>
    <xf numFmtId="0" fontId="1" fillId="4" borderId="1" xfId="0" applyFont="1" applyFill="1" applyBorder="1"/>
    <xf numFmtId="0" fontId="1" fillId="5" borderId="1" xfId="0" applyFont="1" applyFill="1" applyBorder="1"/>
    <xf numFmtId="0" fontId="1" fillId="6" borderId="1" xfId="0" applyFont="1" applyFill="1" applyBorder="1"/>
    <xf numFmtId="0" fontId="1" fillId="0" borderId="0" xfId="0" applyFont="1" applyAlignment="1">
      <alignment horizontal="right" vertical="top"/>
    </xf>
    <xf numFmtId="15" fontId="1" fillId="0" borderId="0" xfId="0" applyNumberFormat="1" applyFont="1"/>
    <xf numFmtId="0" fontId="1" fillId="0" borderId="0" xfId="0" applyFont="1" applyAlignment="1">
      <alignment horizontal="left" vertical="center" indent="3"/>
    </xf>
    <xf numFmtId="165" fontId="1" fillId="8" borderId="26" xfId="0" applyNumberFormat="1" applyFont="1" applyFill="1" applyBorder="1" applyAlignment="1">
      <alignment horizontal="left" vertical="center"/>
    </xf>
    <xf numFmtId="0" fontId="1" fillId="0" borderId="22" xfId="0" applyFont="1" applyBorder="1" applyAlignment="1">
      <alignment vertical="center"/>
    </xf>
    <xf numFmtId="0" fontId="1" fillId="0" borderId="26" xfId="0" applyFont="1" applyBorder="1" applyAlignment="1">
      <alignment vertical="center"/>
    </xf>
    <xf numFmtId="165" fontId="1" fillId="0" borderId="0" xfId="0" applyNumberFormat="1" applyFont="1" applyAlignment="1">
      <alignment horizontal="left" vertical="center"/>
    </xf>
    <xf numFmtId="0" fontId="1" fillId="0" borderId="0" xfId="0" applyFont="1" applyAlignment="1">
      <alignment vertical="center"/>
    </xf>
    <xf numFmtId="0" fontId="1" fillId="0" borderId="0" xfId="0" applyFont="1" applyAlignment="1">
      <alignment horizontal="center"/>
    </xf>
    <xf numFmtId="164" fontId="1" fillId="7" borderId="15" xfId="1" applyNumberFormat="1" applyFont="1" applyFill="1" applyBorder="1" applyAlignment="1" applyProtection="1">
      <alignment horizontal="left"/>
    </xf>
    <xf numFmtId="0" fontId="1" fillId="0" borderId="7" xfId="0" applyFont="1" applyBorder="1" applyAlignment="1">
      <alignment horizontal="left" vertical="center" wrapText="1"/>
    </xf>
    <xf numFmtId="0" fontId="1" fillId="0" borderId="8" xfId="0" applyFont="1" applyBorder="1"/>
    <xf numFmtId="0" fontId="1" fillId="7" borderId="0" xfId="0" applyFont="1" applyFill="1" applyAlignment="1">
      <alignment horizontal="left" indent="4"/>
    </xf>
    <xf numFmtId="0" fontId="1" fillId="0" borderId="10" xfId="0" applyFont="1" applyBorder="1" applyAlignment="1">
      <alignment vertical="center" wrapText="1"/>
    </xf>
    <xf numFmtId="0" fontId="1" fillId="0" borderId="6" xfId="0" applyFont="1" applyBorder="1" applyAlignment="1">
      <alignment horizontal="left" vertical="center" wrapText="1"/>
    </xf>
    <xf numFmtId="0" fontId="1" fillId="0" borderId="0" xfId="0" applyFont="1" applyAlignment="1">
      <alignment horizontal="center" vertical="center"/>
    </xf>
    <xf numFmtId="165" fontId="1" fillId="0" borderId="0" xfId="1" applyNumberFormat="1" applyFont="1" applyFill="1" applyBorder="1" applyAlignment="1" applyProtection="1">
      <alignment horizontal="center" vertical="center"/>
    </xf>
    <xf numFmtId="0" fontId="1" fillId="0" borderId="13" xfId="0" applyFont="1" applyBorder="1" applyAlignment="1">
      <alignment vertical="center" wrapText="1"/>
    </xf>
    <xf numFmtId="173" fontId="1" fillId="0" borderId="0" xfId="1" applyNumberFormat="1" applyFont="1" applyFill="1" applyBorder="1" applyAlignment="1" applyProtection="1">
      <alignment horizontal="center" vertical="center"/>
    </xf>
    <xf numFmtId="164" fontId="1" fillId="7" borderId="15" xfId="1" applyNumberFormat="1" applyFont="1" applyFill="1" applyBorder="1" applyAlignment="1" applyProtection="1">
      <alignment horizontal="left" vertical="center"/>
    </xf>
    <xf numFmtId="0" fontId="1" fillId="0" borderId="14" xfId="0" applyFont="1" applyBorder="1" applyAlignment="1">
      <alignment horizontal="left" vertical="center" wrapText="1"/>
    </xf>
    <xf numFmtId="0" fontId="1" fillId="0" borderId="0" xfId="0" applyFont="1" applyAlignment="1">
      <alignment horizontal="left"/>
    </xf>
    <xf numFmtId="0" fontId="1" fillId="0" borderId="12" xfId="0" applyFont="1" applyBorder="1" applyAlignment="1">
      <alignment horizontal="center" vertical="center"/>
    </xf>
    <xf numFmtId="0" fontId="1" fillId="0" borderId="2" xfId="0" applyFont="1" applyBorder="1" applyAlignment="1">
      <alignment horizontal="center"/>
    </xf>
    <xf numFmtId="0" fontId="1" fillId="0" borderId="2" xfId="0" applyFont="1" applyBorder="1"/>
    <xf numFmtId="0" fontId="1" fillId="0" borderId="3" xfId="0" applyFont="1" applyBorder="1"/>
    <xf numFmtId="0" fontId="1" fillId="7" borderId="19" xfId="0" applyFont="1" applyFill="1" applyBorder="1"/>
    <xf numFmtId="0" fontId="1" fillId="0" borderId="17" xfId="0" applyFont="1" applyBorder="1"/>
    <xf numFmtId="0" fontId="1" fillId="0" borderId="20" xfId="0" applyFont="1" applyBorder="1"/>
    <xf numFmtId="3" fontId="1" fillId="0" borderId="0" xfId="0" applyNumberFormat="1" applyFont="1" applyAlignment="1">
      <alignment vertical="center"/>
    </xf>
    <xf numFmtId="0" fontId="1" fillId="0" borderId="0" xfId="0" applyFont="1" applyAlignment="1">
      <alignment horizontal="center" vertical="center" wrapText="1"/>
    </xf>
    <xf numFmtId="2" fontId="1" fillId="0" borderId="0" xfId="0" applyNumberFormat="1" applyFont="1"/>
    <xf numFmtId="165" fontId="1" fillId="0" borderId="0" xfId="0" applyNumberFormat="1" applyFont="1" applyAlignment="1">
      <alignment horizontal="center"/>
    </xf>
    <xf numFmtId="0" fontId="1" fillId="0" borderId="2" xfId="0" applyFont="1" applyBorder="1" applyAlignment="1">
      <alignment horizontal="left"/>
    </xf>
    <xf numFmtId="1" fontId="1" fillId="0" borderId="2" xfId="0" applyNumberFormat="1" applyFont="1" applyBorder="1" applyAlignment="1">
      <alignment horizontal="center"/>
    </xf>
    <xf numFmtId="0" fontId="1" fillId="0" borderId="5" xfId="0" applyFont="1" applyBorder="1"/>
    <xf numFmtId="0" fontId="1" fillId="0" borderId="0" xfId="0" applyFont="1" applyAlignment="1">
      <alignment horizontal="left" indent="1"/>
    </xf>
    <xf numFmtId="0" fontId="1" fillId="0" borderId="2" xfId="0" applyFont="1" applyBorder="1" applyAlignment="1">
      <alignment horizontal="left" indent="1"/>
    </xf>
    <xf numFmtId="3" fontId="1" fillId="0" borderId="0" xfId="0" applyNumberFormat="1" applyFont="1" applyAlignment="1">
      <alignment horizontal="center"/>
    </xf>
    <xf numFmtId="1" fontId="1" fillId="0" borderId="2" xfId="0" applyNumberFormat="1" applyFont="1" applyBorder="1"/>
    <xf numFmtId="1" fontId="1" fillId="0" borderId="0" xfId="0" applyNumberFormat="1" applyFont="1"/>
    <xf numFmtId="1" fontId="1" fillId="0" borderId="0" xfId="0" applyNumberFormat="1" applyFont="1" applyAlignment="1">
      <alignment horizontal="center"/>
    </xf>
    <xf numFmtId="3" fontId="1" fillId="0" borderId="0" xfId="0" applyNumberFormat="1" applyFont="1"/>
    <xf numFmtId="0" fontId="1" fillId="0" borderId="4" xfId="0" applyFont="1" applyBorder="1" applyAlignment="1">
      <alignment horizontal="left"/>
    </xf>
    <xf numFmtId="0" fontId="1" fillId="0" borderId="5" xfId="0" applyFont="1" applyBorder="1" applyAlignment="1">
      <alignment horizontal="left"/>
    </xf>
    <xf numFmtId="0" fontId="1" fillId="0" borderId="0" xfId="0" applyFont="1" applyAlignment="1">
      <alignment horizontal="right"/>
    </xf>
    <xf numFmtId="41" fontId="1" fillId="0" borderId="0" xfId="0" applyNumberFormat="1" applyFont="1" applyAlignment="1">
      <alignment horizontal="right"/>
    </xf>
    <xf numFmtId="167" fontId="1" fillId="0" borderId="0" xfId="0" applyNumberFormat="1" applyFont="1" applyAlignment="1">
      <alignment horizontal="right"/>
    </xf>
    <xf numFmtId="167" fontId="1" fillId="0" borderId="5" xfId="0" applyNumberFormat="1" applyFont="1" applyBorder="1" applyAlignment="1">
      <alignment horizontal="right"/>
    </xf>
    <xf numFmtId="3" fontId="1" fillId="0" borderId="4" xfId="0" applyNumberFormat="1" applyFont="1" applyBorder="1" applyAlignment="1">
      <alignment horizontal="center"/>
    </xf>
    <xf numFmtId="3" fontId="1" fillId="0" borderId="5" xfId="0" applyNumberFormat="1" applyFont="1" applyBorder="1" applyAlignment="1">
      <alignment horizontal="center"/>
    </xf>
    <xf numFmtId="169" fontId="1" fillId="0" borderId="4" xfId="0" applyNumberFormat="1" applyFont="1" applyBorder="1" applyAlignment="1">
      <alignment horizontal="center"/>
    </xf>
    <xf numFmtId="169" fontId="1" fillId="0" borderId="0" xfId="0" applyNumberFormat="1" applyFont="1" applyAlignment="1">
      <alignment horizontal="center"/>
    </xf>
    <xf numFmtId="169" fontId="1" fillId="0" borderId="5" xfId="0" applyNumberFormat="1" applyFont="1" applyBorder="1" applyAlignment="1">
      <alignment horizontal="center"/>
    </xf>
    <xf numFmtId="41" fontId="1" fillId="0" borderId="0" xfId="0" applyNumberFormat="1" applyFont="1"/>
    <xf numFmtId="4" fontId="1" fillId="0" borderId="4" xfId="0" applyNumberFormat="1" applyFont="1" applyBorder="1" applyAlignment="1">
      <alignment horizontal="center"/>
    </xf>
    <xf numFmtId="4" fontId="1" fillId="0" borderId="0" xfId="0" applyNumberFormat="1" applyFont="1" applyAlignment="1">
      <alignment horizontal="center"/>
    </xf>
    <xf numFmtId="4" fontId="1" fillId="0" borderId="5" xfId="0" applyNumberFormat="1" applyFont="1" applyBorder="1" applyAlignment="1">
      <alignment horizontal="center"/>
    </xf>
    <xf numFmtId="3" fontId="1" fillId="0" borderId="23" xfId="0" applyNumberFormat="1" applyFont="1" applyBorder="1" applyAlignment="1">
      <alignment horizontal="center" vertical="center"/>
    </xf>
    <xf numFmtId="3" fontId="1" fillId="0" borderId="0" xfId="0" applyNumberFormat="1" applyFont="1" applyAlignment="1">
      <alignment horizontal="center" vertical="center"/>
    </xf>
    <xf numFmtId="0" fontId="1" fillId="0" borderId="0" xfId="0" applyFont="1" applyAlignment="1">
      <alignment horizontal="center" wrapText="1"/>
    </xf>
    <xf numFmtId="165" fontId="1" fillId="0" borderId="31" xfId="0" applyNumberFormat="1" applyFont="1" applyBorder="1" applyAlignment="1">
      <alignment horizontal="center"/>
    </xf>
    <xf numFmtId="165" fontId="1" fillId="0" borderId="4" xfId="0" applyNumberFormat="1" applyFont="1" applyBorder="1" applyAlignment="1">
      <alignment horizontal="center"/>
    </xf>
    <xf numFmtId="1" fontId="1" fillId="0" borderId="4" xfId="0" applyNumberFormat="1" applyFont="1" applyBorder="1" applyAlignment="1">
      <alignment horizontal="center"/>
    </xf>
    <xf numFmtId="165" fontId="1" fillId="0" borderId="30" xfId="0" applyNumberFormat="1" applyFont="1" applyBorder="1" applyAlignment="1">
      <alignment horizontal="center"/>
    </xf>
    <xf numFmtId="3" fontId="1" fillId="0" borderId="2" xfId="0" applyNumberFormat="1" applyFont="1" applyBorder="1" applyAlignment="1">
      <alignment horizontal="center"/>
    </xf>
    <xf numFmtId="165" fontId="1" fillId="0" borderId="29" xfId="0" applyNumberFormat="1" applyFont="1" applyBorder="1" applyAlignment="1">
      <alignment horizontal="center"/>
    </xf>
    <xf numFmtId="165" fontId="1" fillId="0" borderId="2" xfId="0" applyNumberFormat="1" applyFont="1" applyBorder="1" applyAlignment="1">
      <alignment horizontal="center"/>
    </xf>
    <xf numFmtId="0" fontId="1" fillId="0" borderId="29" xfId="0" applyFont="1" applyBorder="1"/>
    <xf numFmtId="0" fontId="1" fillId="0" borderId="0" xfId="0" applyFont="1" applyAlignment="1">
      <alignment horizontal="left" vertical="center"/>
    </xf>
    <xf numFmtId="165" fontId="1" fillId="0" borderId="0" xfId="0" applyNumberFormat="1" applyFont="1" applyAlignment="1">
      <alignment horizontal="center" vertical="center"/>
    </xf>
    <xf numFmtId="3" fontId="1" fillId="0" borderId="30" xfId="0" applyNumberFormat="1" applyFont="1" applyBorder="1" applyAlignment="1">
      <alignment horizontal="center"/>
    </xf>
    <xf numFmtId="3" fontId="1" fillId="0" borderId="29" xfId="0" applyNumberFormat="1" applyFont="1" applyBorder="1" applyAlignment="1">
      <alignment horizontal="center"/>
    </xf>
    <xf numFmtId="2" fontId="1" fillId="0" borderId="0" xfId="0" applyNumberFormat="1" applyFont="1" applyAlignment="1">
      <alignment horizontal="center" vertical="center"/>
    </xf>
    <xf numFmtId="0" fontId="1" fillId="0" borderId="0" xfId="0" applyFont="1" applyAlignment="1">
      <alignment horizontal="left" vertical="top"/>
    </xf>
    <xf numFmtId="2" fontId="1" fillId="0" borderId="0" xfId="0" applyNumberFormat="1" applyFont="1" applyAlignment="1">
      <alignment horizontal="center"/>
    </xf>
    <xf numFmtId="3" fontId="1" fillId="0" borderId="30" xfId="1" applyNumberFormat="1" applyFont="1" applyBorder="1" applyAlignment="1">
      <alignment horizontal="center"/>
    </xf>
    <xf numFmtId="3" fontId="1" fillId="0" borderId="29" xfId="1" applyNumberFormat="1" applyFont="1" applyBorder="1" applyAlignment="1">
      <alignment horizontal="center"/>
    </xf>
    <xf numFmtId="37" fontId="1" fillId="0" borderId="30" xfId="0" applyNumberFormat="1" applyFont="1" applyBorder="1" applyAlignment="1">
      <alignment horizontal="center"/>
    </xf>
    <xf numFmtId="37" fontId="1" fillId="0" borderId="0" xfId="0" applyNumberFormat="1" applyFont="1" applyAlignment="1">
      <alignment horizontal="center"/>
    </xf>
    <xf numFmtId="0" fontId="1" fillId="0" borderId="0" xfId="0" quotePrefix="1" applyFont="1"/>
    <xf numFmtId="2" fontId="1" fillId="0" borderId="2" xfId="0" applyNumberFormat="1" applyFont="1" applyBorder="1" applyAlignment="1">
      <alignment horizontal="center"/>
    </xf>
    <xf numFmtId="164" fontId="1" fillId="0" borderId="3" xfId="1" applyNumberFormat="1" applyFont="1" applyFill="1" applyBorder="1"/>
    <xf numFmtId="164" fontId="1" fillId="0" borderId="0" xfId="1" applyNumberFormat="1" applyFont="1" applyFill="1" applyBorder="1"/>
    <xf numFmtId="164" fontId="1" fillId="0" borderId="0" xfId="1" applyNumberFormat="1" applyFont="1" applyFill="1"/>
    <xf numFmtId="164" fontId="1" fillId="0" borderId="2" xfId="1" applyNumberFormat="1" applyFont="1" applyFill="1" applyBorder="1"/>
    <xf numFmtId="164" fontId="1" fillId="0" borderId="0" xfId="0" applyNumberFormat="1" applyFont="1"/>
    <xf numFmtId="0" fontId="1" fillId="0" borderId="3" xfId="0" applyFont="1" applyBorder="1" applyAlignment="1">
      <alignment horizontal="left"/>
    </xf>
    <xf numFmtId="3" fontId="1" fillId="0" borderId="3" xfId="1" applyNumberFormat="1" applyFont="1" applyBorder="1" applyAlignment="1">
      <alignment horizontal="center" vertical="center"/>
    </xf>
    <xf numFmtId="2" fontId="1" fillId="0" borderId="3" xfId="0" applyNumberFormat="1" applyFont="1" applyBorder="1" applyAlignment="1">
      <alignment horizontal="center"/>
    </xf>
    <xf numFmtId="3" fontId="1" fillId="0" borderId="0" xfId="1" applyNumberFormat="1" applyFont="1" applyAlignment="1">
      <alignment horizontal="center" vertical="center"/>
    </xf>
    <xf numFmtId="3" fontId="1" fillId="0" borderId="2" xfId="1" applyNumberFormat="1" applyFont="1" applyBorder="1" applyAlignment="1">
      <alignment horizontal="center" vertical="center"/>
    </xf>
    <xf numFmtId="0" fontId="50" fillId="0" borderId="0" xfId="0" applyFont="1" applyAlignment="1">
      <alignment horizontal="center" vertical="center" wrapText="1"/>
    </xf>
    <xf numFmtId="0" fontId="23" fillId="9" borderId="0" xfId="0" applyFont="1" applyFill="1" applyAlignment="1">
      <alignment horizontal="center" vertical="center" wrapText="1"/>
    </xf>
    <xf numFmtId="0" fontId="23" fillId="9" borderId="32" xfId="0" applyFont="1" applyFill="1" applyBorder="1" applyAlignment="1">
      <alignment horizontal="center" vertical="center" wrapText="1"/>
    </xf>
    <xf numFmtId="0" fontId="64" fillId="0" borderId="34" xfId="0" applyFont="1" applyBorder="1" applyAlignment="1">
      <alignment horizontal="left" vertical="center"/>
    </xf>
    <xf numFmtId="0" fontId="64" fillId="0" borderId="43" xfId="0" applyFont="1" applyBorder="1" applyAlignment="1">
      <alignment horizontal="left" vertical="center"/>
    </xf>
    <xf numFmtId="0" fontId="64" fillId="0" borderId="35" xfId="0" applyFont="1" applyBorder="1" applyAlignment="1">
      <alignment horizontal="left" vertical="center"/>
    </xf>
    <xf numFmtId="0" fontId="64" fillId="0" borderId="1" xfId="0" applyFont="1" applyBorder="1" applyAlignment="1">
      <alignment horizontal="left" vertical="center"/>
    </xf>
    <xf numFmtId="0" fontId="64" fillId="0" borderId="1" xfId="0" applyFont="1" applyBorder="1" applyAlignment="1">
      <alignment horizontal="left" vertical="center" wrapText="1"/>
    </xf>
    <xf numFmtId="0" fontId="83" fillId="0" borderId="1" xfId="0" applyFont="1" applyBorder="1" applyAlignment="1">
      <alignment horizontal="left" vertical="center" wrapText="1"/>
    </xf>
    <xf numFmtId="0" fontId="25" fillId="0" borderId="0" xfId="0" applyFont="1" applyAlignment="1">
      <alignment horizontal="center"/>
    </xf>
    <xf numFmtId="0" fontId="1" fillId="0" borderId="0" xfId="0" applyFont="1" applyAlignment="1">
      <alignment horizontal="center"/>
    </xf>
    <xf numFmtId="0" fontId="22" fillId="0" borderId="0" xfId="0" applyFont="1" applyAlignment="1">
      <alignment horizontal="left" wrapText="1"/>
    </xf>
    <xf numFmtId="0" fontId="1" fillId="0" borderId="10" xfId="0" applyFont="1" applyBorder="1" applyAlignment="1">
      <alignment horizontal="left" vertical="center" wrapText="1"/>
    </xf>
    <xf numFmtId="0" fontId="1" fillId="0" borderId="9" xfId="0" applyFont="1" applyBorder="1" applyAlignment="1">
      <alignment horizontal="left" vertical="center" wrapText="1"/>
    </xf>
    <xf numFmtId="0" fontId="1" fillId="0" borderId="11" xfId="0" applyFont="1" applyBorder="1" applyAlignment="1">
      <alignment horizontal="left" vertical="center" wrapText="1"/>
    </xf>
    <xf numFmtId="0" fontId="22" fillId="0" borderId="0" xfId="0" applyFont="1" applyAlignment="1">
      <alignment horizontal="center" wrapText="1"/>
    </xf>
    <xf numFmtId="0" fontId="9" fillId="0" borderId="0" xfId="0" applyFont="1" applyAlignment="1">
      <alignment horizontal="left" wrapText="1"/>
    </xf>
    <xf numFmtId="0" fontId="22" fillId="0" borderId="23" xfId="0" applyFont="1" applyBorder="1" applyAlignment="1">
      <alignment horizontal="center" wrapText="1"/>
    </xf>
    <xf numFmtId="1" fontId="47" fillId="0" borderId="0" xfId="0" applyNumberFormat="1" applyFont="1" applyAlignment="1">
      <alignment horizontal="left" wrapText="1"/>
    </xf>
    <xf numFmtId="0" fontId="54" fillId="0" borderId="0" xfId="0" applyFont="1" applyAlignment="1">
      <alignment horizontal="center"/>
    </xf>
    <xf numFmtId="1" fontId="47" fillId="0" borderId="0" xfId="0" applyNumberFormat="1" applyFont="1" applyAlignment="1">
      <alignment horizontal="left" vertical="center" wrapText="1"/>
    </xf>
    <xf numFmtId="0" fontId="47" fillId="0" borderId="4" xfId="0" applyFont="1" applyBorder="1" applyAlignment="1">
      <alignment horizontal="left" wrapText="1"/>
    </xf>
    <xf numFmtId="1" fontId="47" fillId="0" borderId="27" xfId="0" applyNumberFormat="1" applyFont="1" applyBorder="1" applyAlignment="1">
      <alignment horizontal="left" vertical="center" wrapText="1"/>
    </xf>
    <xf numFmtId="0" fontId="33" fillId="0" borderId="0" xfId="5" applyFont="1" applyAlignment="1">
      <alignment horizontal="center"/>
    </xf>
    <xf numFmtId="0" fontId="40" fillId="0" borderId="38" xfId="0" applyFont="1" applyBorder="1" applyAlignment="1">
      <alignment horizontal="left" vertical="top" wrapText="1" indent="1"/>
    </xf>
    <xf numFmtId="0" fontId="40" fillId="0" borderId="24" xfId="0" applyFont="1" applyBorder="1" applyAlignment="1">
      <alignment horizontal="left" vertical="top" wrapText="1" indent="1"/>
    </xf>
    <xf numFmtId="0" fontId="40" fillId="0" borderId="39" xfId="0" applyFont="1" applyBorder="1" applyAlignment="1">
      <alignment horizontal="left" vertical="top" wrapText="1" indent="1"/>
    </xf>
    <xf numFmtId="0" fontId="39" fillId="0" borderId="0" xfId="0" applyFont="1" applyAlignment="1">
      <alignment horizontal="left" wrapText="1"/>
    </xf>
    <xf numFmtId="0" fontId="29" fillId="9" borderId="30" xfId="0" applyFont="1" applyFill="1" applyBorder="1" applyAlignment="1">
      <alignment horizontal="center" wrapText="1"/>
    </xf>
    <xf numFmtId="0" fontId="29" fillId="9" borderId="0" xfId="0" applyFont="1" applyFill="1" applyAlignment="1">
      <alignment horizontal="center" wrapText="1"/>
    </xf>
    <xf numFmtId="0" fontId="29" fillId="9" borderId="41" xfId="0" applyFont="1" applyFill="1" applyBorder="1" applyAlignment="1">
      <alignment horizontal="center" wrapText="1"/>
    </xf>
    <xf numFmtId="0" fontId="39" fillId="0" borderId="0" xfId="0" applyFont="1" applyAlignment="1">
      <alignment horizontal="left" vertical="center" wrapText="1"/>
    </xf>
    <xf numFmtId="0" fontId="29" fillId="9" borderId="30" xfId="0" applyFont="1" applyFill="1" applyBorder="1" applyAlignment="1">
      <alignment horizontal="center"/>
    </xf>
    <xf numFmtId="0" fontId="29" fillId="9" borderId="0" xfId="0" applyFont="1" applyFill="1" applyAlignment="1">
      <alignment horizontal="center"/>
    </xf>
    <xf numFmtId="0" fontId="29" fillId="9" borderId="41" xfId="0" applyFont="1" applyFill="1" applyBorder="1" applyAlignment="1">
      <alignment horizontal="center"/>
    </xf>
    <xf numFmtId="0" fontId="71" fillId="0" borderId="4" xfId="0" applyFont="1" applyBorder="1" applyAlignment="1">
      <alignment horizontal="left" wrapText="1"/>
    </xf>
    <xf numFmtId="0" fontId="71" fillId="0" borderId="0" xfId="0" applyFont="1" applyAlignment="1">
      <alignment horizontal="left" wrapText="1"/>
    </xf>
    <xf numFmtId="0" fontId="71" fillId="0" borderId="0" xfId="0" applyFont="1" applyAlignment="1">
      <alignment horizontal="left" vertical="center" wrapText="1"/>
    </xf>
  </cellXfs>
  <cellStyles count="6">
    <cellStyle name="Comma" xfId="1" builtinId="3"/>
    <cellStyle name="Hyperlink" xfId="5" builtinId="8"/>
    <cellStyle name="Normal" xfId="0" builtinId="0"/>
    <cellStyle name="Normal 2" xfId="3" xr:uid="{751A0F7F-6660-479E-B382-3536901CB5B7}"/>
    <cellStyle name="Percent" xfId="2" builtinId="5"/>
    <cellStyle name="Percent 2" xfId="4" xr:uid="{3DF59173-FC42-4484-B308-C9B149C455BF}"/>
  </cellStyles>
  <dxfs count="1">
    <dxf>
      <fill>
        <patternFill>
          <bgColor theme="5" tint="0.39994506668294322"/>
        </patternFill>
      </fill>
    </dxf>
  </dxfs>
  <tableStyles count="0" defaultTableStyle="TableStyleMedium2" defaultPivotStyle="PivotStyleMedium9"/>
  <colors>
    <mruColors>
      <color rgb="FFFFFFCC"/>
      <color rgb="FF008000"/>
      <color rgb="FF0000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Energy Delivered </a:t>
            </a:r>
          </a:p>
          <a:p>
            <a:pPr>
              <a:defRPr sz="1200"/>
            </a:pPr>
            <a:r>
              <a:rPr lang="en-US" sz="1200"/>
              <a:t>(MMTJ/yr)</a:t>
            </a:r>
          </a:p>
        </c:rich>
      </c:tx>
      <c:layout>
        <c:manualLayout>
          <c:xMode val="edge"/>
          <c:yMode val="edge"/>
          <c:x val="0.11583991180025018"/>
          <c:y val="7.227184225978923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0743518771957537"/>
          <c:y val="0.17551520396036263"/>
          <c:w val="0.27909923201568426"/>
          <c:h val="0.52716416207832528"/>
        </c:manualLayout>
      </c:layout>
      <c:pieChart>
        <c:varyColors val="1"/>
        <c:ser>
          <c:idx val="0"/>
          <c:order val="0"/>
          <c:tx>
            <c:strRef>
              <c:f>Dashboard!$I$9</c:f>
              <c:strCache>
                <c:ptCount val="1"/>
                <c:pt idx="0">
                  <c:v>Energy Delivered (MMTJ/yr)</c:v>
                </c:pt>
              </c:strCache>
            </c:strRef>
          </c:tx>
          <c:dPt>
            <c:idx val="0"/>
            <c:bubble3D val="0"/>
            <c:spPr>
              <a:solidFill>
                <a:srgbClr val="008000"/>
              </a:solidFill>
              <a:ln w="19050">
                <a:solidFill>
                  <a:schemeClr val="lt1"/>
                </a:solidFill>
              </a:ln>
              <a:effectLst/>
            </c:spPr>
            <c:extLst>
              <c:ext xmlns:c16="http://schemas.microsoft.com/office/drawing/2014/chart" uri="{C3380CC4-5D6E-409C-BE32-E72D297353CC}">
                <c16:uniqueId val="{00000001-7189-49FC-B911-0C736FCF096F}"/>
              </c:ext>
            </c:extLst>
          </c:dPt>
          <c:dPt>
            <c:idx val="1"/>
            <c:bubble3D val="0"/>
            <c:spPr>
              <a:solidFill>
                <a:srgbClr val="C00000"/>
              </a:solidFill>
              <a:ln w="19050">
                <a:solidFill>
                  <a:schemeClr val="lt1"/>
                </a:solidFill>
              </a:ln>
              <a:effectLst/>
            </c:spPr>
            <c:extLst>
              <c:ext xmlns:c16="http://schemas.microsoft.com/office/drawing/2014/chart" uri="{C3380CC4-5D6E-409C-BE32-E72D297353CC}">
                <c16:uniqueId val="{00000003-7189-49FC-B911-0C736FCF096F}"/>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7189-49FC-B911-0C736FCF096F}"/>
              </c:ext>
            </c:extLst>
          </c:dPt>
          <c:dPt>
            <c:idx val="3"/>
            <c:bubble3D val="0"/>
            <c:spPr>
              <a:solidFill>
                <a:srgbClr val="7030A0"/>
              </a:solidFill>
              <a:ln w="19050">
                <a:solidFill>
                  <a:schemeClr val="lt1"/>
                </a:solidFill>
              </a:ln>
              <a:effectLst/>
            </c:spPr>
            <c:extLst>
              <c:ext xmlns:c16="http://schemas.microsoft.com/office/drawing/2014/chart" uri="{C3380CC4-5D6E-409C-BE32-E72D297353CC}">
                <c16:uniqueId val="{00000007-7189-49FC-B911-0C736FCF096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189-49FC-B911-0C736FCF096F}"/>
              </c:ext>
            </c:extLst>
          </c:dPt>
          <c:dPt>
            <c:idx val="5"/>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B-7189-49FC-B911-0C736FCF096F}"/>
              </c:ext>
            </c:extLst>
          </c:dPt>
          <c:dPt>
            <c:idx val="6"/>
            <c:bubble3D val="0"/>
            <c:spPr>
              <a:solidFill>
                <a:schemeClr val="tx1"/>
              </a:solidFill>
              <a:ln w="19050">
                <a:solidFill>
                  <a:schemeClr val="lt1"/>
                </a:solidFill>
              </a:ln>
              <a:effectLst/>
            </c:spPr>
            <c:extLst>
              <c:ext xmlns:c16="http://schemas.microsoft.com/office/drawing/2014/chart" uri="{C3380CC4-5D6E-409C-BE32-E72D297353CC}">
                <c16:uniqueId val="{0000000D-7189-49FC-B911-0C736FCF096F}"/>
              </c:ext>
            </c:extLst>
          </c:dPt>
          <c:cat>
            <c:strRef>
              <c:f>Dashboard!$H$13:$H$19</c:f>
              <c:strCache>
                <c:ptCount val="7"/>
                <c:pt idx="0">
                  <c:v>Oil and Refined Products</c:v>
                </c:pt>
                <c:pt idx="1">
                  <c:v>Natural Gas and LNG</c:v>
                </c:pt>
                <c:pt idx="2">
                  <c:v>Natural Gas Liquids</c:v>
                </c:pt>
                <c:pt idx="3">
                  <c:v>Biofuels</c:v>
                </c:pt>
                <c:pt idx="4">
                  <c:v>Hydrogen</c:v>
                </c:pt>
                <c:pt idx="5">
                  <c:v>Lower Carbon Power</c:v>
                </c:pt>
                <c:pt idx="6">
                  <c:v>Carbon Sinks</c:v>
                </c:pt>
              </c:strCache>
            </c:strRef>
          </c:cat>
          <c:val>
            <c:numRef>
              <c:f>Dashboard!$I$13:$I$19</c:f>
              <c:numCache>
                <c:formatCode>0.0</c:formatCode>
                <c:ptCount val="7"/>
                <c:pt idx="0">
                  <c:v>5.4342790393256566</c:v>
                </c:pt>
                <c:pt idx="1">
                  <c:v>4.0679606348060862</c:v>
                </c:pt>
                <c:pt idx="2">
                  <c:v>0.74806474984095039</c:v>
                </c:pt>
                <c:pt idx="3">
                  <c:v>0.17693019095681309</c:v>
                </c:pt>
                <c:pt idx="4">
                  <c:v>0</c:v>
                </c:pt>
                <c:pt idx="5">
                  <c:v>1.6826386538890767E-5</c:v>
                </c:pt>
                <c:pt idx="6">
                  <c:v>0</c:v>
                </c:pt>
              </c:numCache>
            </c:numRef>
          </c:val>
          <c:extLst>
            <c:ext xmlns:c16="http://schemas.microsoft.com/office/drawing/2014/chart" uri="{C3380CC4-5D6E-409C-BE32-E72D297353CC}">
              <c16:uniqueId val="{0000000E-7189-49FC-B911-0C736FCF096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2.6019244318656026E-2"/>
          <c:y val="0.82935287069981078"/>
          <c:w val="0.93086924292318152"/>
          <c:h val="0.1427864502454967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solidFill>
                  <a:sysClr val="windowText" lastClr="000000"/>
                </a:solidFill>
                <a:latin typeface="Arial" panose="020B0604020202020204" pitchFamily="34" charset="0"/>
                <a:cs typeface="Arial" panose="020B0604020202020204" pitchFamily="34" charset="0"/>
              </a:rPr>
              <a:t>Estimated Value Chain Emissions </a:t>
            </a:r>
          </a:p>
          <a:p>
            <a:pPr>
              <a:defRPr sz="1200">
                <a:solidFill>
                  <a:sysClr val="windowText" lastClr="000000"/>
                </a:solidFill>
                <a:latin typeface="Arial" panose="020B0604020202020204" pitchFamily="34" charset="0"/>
                <a:cs typeface="Arial" panose="020B0604020202020204" pitchFamily="34" charset="0"/>
              </a:defRPr>
            </a:pPr>
            <a:r>
              <a:rPr lang="en-US" sz="1200">
                <a:solidFill>
                  <a:sysClr val="windowText" lastClr="000000"/>
                </a:solidFill>
                <a:latin typeface="Arial" panose="020B0604020202020204" pitchFamily="34" charset="0"/>
                <a:cs typeface="Arial" panose="020B0604020202020204" pitchFamily="34" charset="0"/>
              </a:rPr>
              <a:t>(MMT CO2e/yr)</a:t>
            </a:r>
          </a:p>
        </c:rich>
      </c:tx>
      <c:layout>
        <c:manualLayout>
          <c:xMode val="edge"/>
          <c:yMode val="edge"/>
          <c:x val="2.8654728403396539E-2"/>
          <c:y val="6.517173683090872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2709714241241101E-2"/>
          <c:y val="0.31177859338478092"/>
          <c:w val="0.56656382636185343"/>
          <c:h val="0.53242160092806579"/>
        </c:manualLayout>
      </c:layout>
      <c:pieChart>
        <c:varyColors val="1"/>
        <c:ser>
          <c:idx val="0"/>
          <c:order val="0"/>
          <c:tx>
            <c:strRef>
              <c:f>Dashboard!$J$9</c:f>
              <c:strCache>
                <c:ptCount val="1"/>
                <c:pt idx="0">
                  <c:v>Estimated Value Chain Emissions (MMT CO2e/yr)</c:v>
                </c:pt>
              </c:strCache>
            </c:strRef>
          </c:tx>
          <c:dPt>
            <c:idx val="0"/>
            <c:bubble3D val="0"/>
            <c:spPr>
              <a:solidFill>
                <a:srgbClr val="008000"/>
              </a:solidFill>
              <a:ln w="19050">
                <a:solidFill>
                  <a:schemeClr val="lt1"/>
                </a:solidFill>
              </a:ln>
              <a:effectLst/>
            </c:spPr>
            <c:extLst>
              <c:ext xmlns:c16="http://schemas.microsoft.com/office/drawing/2014/chart" uri="{C3380CC4-5D6E-409C-BE32-E72D297353CC}">
                <c16:uniqueId val="{00000001-FBFA-464C-84CA-7CFA9FB11A61}"/>
              </c:ext>
            </c:extLst>
          </c:dPt>
          <c:dPt>
            <c:idx val="1"/>
            <c:bubble3D val="0"/>
            <c:spPr>
              <a:solidFill>
                <a:srgbClr val="C00000"/>
              </a:solidFill>
              <a:ln w="19050">
                <a:solidFill>
                  <a:schemeClr val="lt1"/>
                </a:solidFill>
              </a:ln>
              <a:effectLst/>
            </c:spPr>
            <c:extLst>
              <c:ext xmlns:c16="http://schemas.microsoft.com/office/drawing/2014/chart" uri="{C3380CC4-5D6E-409C-BE32-E72D297353CC}">
                <c16:uniqueId val="{00000003-FBFA-464C-84CA-7CFA9FB11A61}"/>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FBFA-464C-84CA-7CFA9FB11A61}"/>
              </c:ext>
            </c:extLst>
          </c:dPt>
          <c:dPt>
            <c:idx val="3"/>
            <c:bubble3D val="0"/>
            <c:spPr>
              <a:solidFill>
                <a:srgbClr val="7030A0"/>
              </a:solidFill>
              <a:ln w="19050">
                <a:solidFill>
                  <a:schemeClr val="lt1"/>
                </a:solidFill>
              </a:ln>
              <a:effectLst/>
            </c:spPr>
            <c:extLst>
              <c:ext xmlns:c16="http://schemas.microsoft.com/office/drawing/2014/chart" uri="{C3380CC4-5D6E-409C-BE32-E72D297353CC}">
                <c16:uniqueId val="{00000007-FBFA-464C-84CA-7CFA9FB11A6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BFA-464C-84CA-7CFA9FB11A61}"/>
              </c:ext>
            </c:extLst>
          </c:dPt>
          <c:dPt>
            <c:idx val="5"/>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B-FBFA-464C-84CA-7CFA9FB11A61}"/>
              </c:ext>
            </c:extLst>
          </c:dPt>
          <c:dPt>
            <c:idx val="6"/>
            <c:bubble3D val="0"/>
            <c:spPr>
              <a:solidFill>
                <a:schemeClr val="tx1"/>
              </a:solidFill>
              <a:ln w="19050">
                <a:solidFill>
                  <a:schemeClr val="lt1"/>
                </a:solidFill>
              </a:ln>
              <a:effectLst/>
            </c:spPr>
            <c:extLst>
              <c:ext xmlns:c16="http://schemas.microsoft.com/office/drawing/2014/chart" uri="{C3380CC4-5D6E-409C-BE32-E72D297353CC}">
                <c16:uniqueId val="{0000000D-FBFA-464C-84CA-7CFA9FB11A61}"/>
              </c:ext>
            </c:extLst>
          </c:dPt>
          <c:cat>
            <c:strRef>
              <c:f>Dashboard!$H$13:$H$19</c:f>
              <c:strCache>
                <c:ptCount val="7"/>
                <c:pt idx="0">
                  <c:v>Oil and Refined Products</c:v>
                </c:pt>
                <c:pt idx="1">
                  <c:v>Natural Gas and LNG</c:v>
                </c:pt>
                <c:pt idx="2">
                  <c:v>Natural Gas Liquids</c:v>
                </c:pt>
                <c:pt idx="3">
                  <c:v>Biofuels</c:v>
                </c:pt>
                <c:pt idx="4">
                  <c:v>Hydrogen</c:v>
                </c:pt>
                <c:pt idx="5">
                  <c:v>Lower Carbon Power</c:v>
                </c:pt>
                <c:pt idx="6">
                  <c:v>Carbon Sinks</c:v>
                </c:pt>
              </c:strCache>
            </c:strRef>
          </c:cat>
          <c:val>
            <c:numRef>
              <c:f>Dashboard!$J$13:$J$19</c:f>
              <c:numCache>
                <c:formatCode>0</c:formatCode>
                <c:ptCount val="7"/>
                <c:pt idx="0">
                  <c:v>445.50301598344089</c:v>
                </c:pt>
                <c:pt idx="1">
                  <c:v>243.09874839752598</c:v>
                </c:pt>
                <c:pt idx="2">
                  <c:v>54.412768515220073</c:v>
                </c:pt>
                <c:pt idx="3">
                  <c:v>6.6806827562519127</c:v>
                </c:pt>
                <c:pt idx="4">
                  <c:v>0</c:v>
                </c:pt>
                <c:pt idx="5">
                  <c:v>8.0802000000000003E-5</c:v>
                </c:pt>
                <c:pt idx="6" formatCode="0_);\(0\)">
                  <c:v>-10.46</c:v>
                </c:pt>
              </c:numCache>
            </c:numRef>
          </c:val>
          <c:extLst>
            <c:ext xmlns:c16="http://schemas.microsoft.com/office/drawing/2014/chart" uri="{C3380CC4-5D6E-409C-BE32-E72D297353CC}">
              <c16:uniqueId val="{0000000E-FBFA-464C-84CA-7CFA9FB11A6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Dashboard!$K$9</c:f>
          <c:strCache>
            <c:ptCount val="1"/>
            <c:pt idx="0">
              <c:v>Energy Category Footprint (gCO2e/MJ)</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1"/>
        <c:ser>
          <c:idx val="0"/>
          <c:order val="0"/>
          <c:invertIfNegative val="0"/>
          <c:dPt>
            <c:idx val="0"/>
            <c:invertIfNegative val="0"/>
            <c:bubble3D val="0"/>
            <c:spPr>
              <a:solidFill>
                <a:srgbClr val="008000"/>
              </a:solidFill>
              <a:ln>
                <a:noFill/>
              </a:ln>
              <a:effectLst/>
            </c:spPr>
            <c:extLst>
              <c:ext xmlns:c16="http://schemas.microsoft.com/office/drawing/2014/chart" uri="{C3380CC4-5D6E-409C-BE32-E72D297353CC}">
                <c16:uniqueId val="{00000001-FC31-4255-88F9-61FFFD92AF69}"/>
              </c:ext>
            </c:extLst>
          </c:dPt>
          <c:dPt>
            <c:idx val="1"/>
            <c:invertIfNegative val="0"/>
            <c:bubble3D val="0"/>
            <c:spPr>
              <a:solidFill>
                <a:srgbClr val="C00000"/>
              </a:solidFill>
              <a:ln>
                <a:noFill/>
              </a:ln>
              <a:effectLst/>
            </c:spPr>
            <c:extLst>
              <c:ext xmlns:c16="http://schemas.microsoft.com/office/drawing/2014/chart" uri="{C3380CC4-5D6E-409C-BE32-E72D297353CC}">
                <c16:uniqueId val="{00000003-FC31-4255-88F9-61FFFD92AF69}"/>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5-FC31-4255-88F9-61FFFD92AF69}"/>
              </c:ext>
            </c:extLst>
          </c:dPt>
          <c:dPt>
            <c:idx val="3"/>
            <c:invertIfNegative val="0"/>
            <c:bubble3D val="0"/>
            <c:spPr>
              <a:solidFill>
                <a:srgbClr val="7030A0"/>
              </a:solidFill>
              <a:ln>
                <a:noFill/>
              </a:ln>
              <a:effectLst/>
            </c:spPr>
            <c:extLst>
              <c:ext xmlns:c16="http://schemas.microsoft.com/office/drawing/2014/chart" uri="{C3380CC4-5D6E-409C-BE32-E72D297353CC}">
                <c16:uniqueId val="{00000007-FC31-4255-88F9-61FFFD92AF69}"/>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9-FC31-4255-88F9-61FFFD92AF69}"/>
              </c:ext>
            </c:extLst>
          </c:dPt>
          <c:dPt>
            <c:idx val="5"/>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B-FC31-4255-88F9-61FFFD92AF69}"/>
              </c:ext>
            </c:extLst>
          </c:dPt>
          <c:dPt>
            <c:idx val="6"/>
            <c:invertIfNegative val="0"/>
            <c:bubble3D val="0"/>
            <c:spPr>
              <a:solidFill>
                <a:schemeClr val="tx1"/>
              </a:solidFill>
              <a:ln>
                <a:noFill/>
              </a:ln>
              <a:effectLst/>
            </c:spPr>
            <c:extLst>
              <c:ext xmlns:c16="http://schemas.microsoft.com/office/drawing/2014/chart" uri="{C3380CC4-5D6E-409C-BE32-E72D297353CC}">
                <c16:uniqueId val="{0000000D-FC31-4255-88F9-61FFFD92AF69}"/>
              </c:ext>
            </c:extLst>
          </c:dPt>
          <c:dPt>
            <c:idx val="7"/>
            <c:invertIfNegative val="0"/>
            <c:bubble3D val="0"/>
            <c:spPr>
              <a:solidFill>
                <a:srgbClr val="002060"/>
              </a:solidFill>
              <a:ln>
                <a:noFill/>
              </a:ln>
              <a:effectLst/>
            </c:spPr>
            <c:extLst>
              <c:ext xmlns:c16="http://schemas.microsoft.com/office/drawing/2014/chart" uri="{C3380CC4-5D6E-409C-BE32-E72D297353CC}">
                <c16:uniqueId val="{0000000F-FC31-4255-88F9-61FFFD92AF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Dashboard!$H$13:$H$20</c:f>
              <c:strCache>
                <c:ptCount val="8"/>
                <c:pt idx="0">
                  <c:v>Oil and Refined Products</c:v>
                </c:pt>
                <c:pt idx="1">
                  <c:v>Natural Gas and LNG</c:v>
                </c:pt>
                <c:pt idx="2">
                  <c:v>Natural Gas Liquids</c:v>
                </c:pt>
                <c:pt idx="3">
                  <c:v>Biofuels</c:v>
                </c:pt>
                <c:pt idx="4">
                  <c:v>Hydrogen</c:v>
                </c:pt>
                <c:pt idx="5">
                  <c:v>Lower Carbon Power</c:v>
                </c:pt>
                <c:pt idx="6">
                  <c:v>Carbon Sinks</c:v>
                </c:pt>
                <c:pt idx="7">
                  <c:v>PCI, HHV Basis</c:v>
                </c:pt>
              </c:strCache>
            </c:strRef>
          </c:cat>
          <c:val>
            <c:numRef>
              <c:f>Dashboard!$K$13:$K$20</c:f>
              <c:numCache>
                <c:formatCode>0.0</c:formatCode>
                <c:ptCount val="8"/>
                <c:pt idx="0">
                  <c:v>81.980150956459468</c:v>
                </c:pt>
                <c:pt idx="1">
                  <c:v>59.759365987354045</c:v>
                </c:pt>
                <c:pt idx="2">
                  <c:v>72.738046441553394</c:v>
                </c:pt>
                <c:pt idx="3">
                  <c:v>37.758862521561404</c:v>
                </c:pt>
                <c:pt idx="4">
                  <c:v>0</c:v>
                </c:pt>
                <c:pt idx="5">
                  <c:v>4.8021005468549429</c:v>
                </c:pt>
                <c:pt idx="6">
                  <c:v>0</c:v>
                </c:pt>
                <c:pt idx="7">
                  <c:v>70.894549787622495</c:v>
                </c:pt>
              </c:numCache>
            </c:numRef>
          </c:val>
          <c:extLst>
            <c:ext xmlns:c16="http://schemas.microsoft.com/office/drawing/2014/chart" uri="{C3380CC4-5D6E-409C-BE32-E72D297353CC}">
              <c16:uniqueId val="{00000000-051B-43D9-AA95-D95E993769DC}"/>
            </c:ext>
          </c:extLst>
        </c:ser>
        <c:dLbls>
          <c:showLegendKey val="0"/>
          <c:showVal val="0"/>
          <c:showCatName val="0"/>
          <c:showSerName val="0"/>
          <c:showPercent val="0"/>
          <c:showBubbleSize val="0"/>
        </c:dLbls>
        <c:gapWidth val="75"/>
        <c:overlap val="-27"/>
        <c:axId val="744016864"/>
        <c:axId val="744017192"/>
      </c:barChart>
      <c:catAx>
        <c:axId val="74401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44017192"/>
        <c:crosses val="autoZero"/>
        <c:auto val="1"/>
        <c:lblAlgn val="ctr"/>
        <c:lblOffset val="100"/>
        <c:noMultiLvlLbl val="0"/>
      </c:catAx>
      <c:valAx>
        <c:axId val="744017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44016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checked="Checked" firstButton="1" fmlaLink="S1"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checked="Checked" fmlaLink="S2" lockText="1" noThreeD="1"/>
</file>

<file path=xl/ctrlProps/ctrlProp4.xml><?xml version="1.0" encoding="utf-8"?>
<formControlPr xmlns="http://schemas.microsoft.com/office/spreadsheetml/2009/9/main" objectType="CheckBox" fmlaLink="$F$2" lockText="1" noThreeD="1"/>
</file>

<file path=xl/ctrlProps/ctrlProp5.xml><?xml version="1.0" encoding="utf-8"?>
<formControlPr xmlns="http://schemas.microsoft.com/office/spreadsheetml/2009/9/main" objectType="CheckBox" checked="Checked" fmlaLink="Dashboard!$S$2" lockText="1" noThreeD="1"/>
</file>

<file path=xl/ctrlProps/ctrlProp6.xml><?xml version="1.0" encoding="utf-8"?>
<formControlPr xmlns="http://schemas.microsoft.com/office/spreadsheetml/2009/9/main" objectType="CheckBox" fmlaLink="' Alt Calc - Refined Products'!$F$2" lockText="1" noThreeD="1"/>
</file>

<file path=xl/drawings/_rels/drawing1.xml.rels><?xml version="1.0" encoding="UTF-8" standalone="yes"?>
<Relationships xmlns="http://schemas.openxmlformats.org/package/2006/relationships"><Relationship Id="rId13" Type="http://schemas.openxmlformats.org/officeDocument/2006/relationships/image" Target="../media/image8.jpeg"/><Relationship Id="rId18" Type="http://schemas.openxmlformats.org/officeDocument/2006/relationships/hyperlink" Target="#'Oil and Refined Products'!A1"/><Relationship Id="rId26" Type="http://schemas.openxmlformats.org/officeDocument/2006/relationships/hyperlink" Target="#Hydrogen!A1"/><Relationship Id="rId3" Type="http://schemas.openxmlformats.org/officeDocument/2006/relationships/image" Target="../media/image3.png"/><Relationship Id="rId21" Type="http://schemas.openxmlformats.org/officeDocument/2006/relationships/image" Target="../media/image12.jpeg"/><Relationship Id="rId7" Type="http://schemas.openxmlformats.org/officeDocument/2006/relationships/image" Target="../media/image5.jpeg"/><Relationship Id="rId12" Type="http://schemas.openxmlformats.org/officeDocument/2006/relationships/hyperlink" Target="#Factors!A1"/><Relationship Id="rId17" Type="http://schemas.openxmlformats.org/officeDocument/2006/relationships/image" Target="../media/image10.jpeg"/><Relationship Id="rId25" Type="http://schemas.openxmlformats.org/officeDocument/2006/relationships/image" Target="../media/image14.png"/><Relationship Id="rId33" Type="http://schemas.openxmlformats.org/officeDocument/2006/relationships/image" Target="../media/image18.png"/><Relationship Id="rId2" Type="http://schemas.openxmlformats.org/officeDocument/2006/relationships/image" Target="../media/image2.jpeg"/><Relationship Id="rId16" Type="http://schemas.openxmlformats.org/officeDocument/2006/relationships/hyperlink" Target="#Abbreviations!A1"/><Relationship Id="rId20" Type="http://schemas.openxmlformats.org/officeDocument/2006/relationships/hyperlink" Target="#Home!A1"/><Relationship Id="rId29"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hyperlink" Target="#'Terms and Conditions'!A1"/><Relationship Id="rId11" Type="http://schemas.openxmlformats.org/officeDocument/2006/relationships/image" Target="../media/image7.jpeg"/><Relationship Id="rId24" Type="http://schemas.openxmlformats.org/officeDocument/2006/relationships/hyperlink" Target="#'Gas and LNG'!A1"/><Relationship Id="rId32" Type="http://schemas.openxmlformats.org/officeDocument/2006/relationships/hyperlink" Target="#FAQ!A1"/><Relationship Id="rId5" Type="http://schemas.openxmlformats.org/officeDocument/2006/relationships/image" Target="../media/image4.jpeg"/><Relationship Id="rId15" Type="http://schemas.openxmlformats.org/officeDocument/2006/relationships/image" Target="../media/image9.jpeg"/><Relationship Id="rId23" Type="http://schemas.openxmlformats.org/officeDocument/2006/relationships/image" Target="../media/image13.jpeg"/><Relationship Id="rId28" Type="http://schemas.openxmlformats.org/officeDocument/2006/relationships/hyperlink" Target="#Biofuels!A1"/><Relationship Id="rId10" Type="http://schemas.openxmlformats.org/officeDocument/2006/relationships/hyperlink" Target="#Dashboard!A1"/><Relationship Id="rId19" Type="http://schemas.openxmlformats.org/officeDocument/2006/relationships/image" Target="../media/image11.jpeg"/><Relationship Id="rId31" Type="http://schemas.openxmlformats.org/officeDocument/2006/relationships/image" Target="../media/image17.png"/><Relationship Id="rId4" Type="http://schemas.openxmlformats.org/officeDocument/2006/relationships/hyperlink" Target="#Education!A1"/><Relationship Id="rId9" Type="http://schemas.openxmlformats.org/officeDocument/2006/relationships/image" Target="../media/image6.jpeg"/><Relationship Id="rId14" Type="http://schemas.openxmlformats.org/officeDocument/2006/relationships/hyperlink" Target="#' Alt Calc - Refined Products'!A1"/><Relationship Id="rId22" Type="http://schemas.openxmlformats.org/officeDocument/2006/relationships/hyperlink" Target="#NGLs!A1"/><Relationship Id="rId27" Type="http://schemas.openxmlformats.org/officeDocument/2006/relationships/image" Target="../media/image15.png"/><Relationship Id="rId30" Type="http://schemas.openxmlformats.org/officeDocument/2006/relationships/hyperlink" Target="#'Lower Carbon Power'!A1"/><Relationship Id="rId8" Type="http://schemas.openxmlformats.org/officeDocument/2006/relationships/hyperlink" Target="#'User Guide'!A1"/></Relationships>
</file>

<file path=xl/drawings/_rels/drawing10.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hyperlink" Target="#Abbreviations!A1"/><Relationship Id="rId18" Type="http://schemas.openxmlformats.org/officeDocument/2006/relationships/image" Target="../media/image12.jpeg"/><Relationship Id="rId26" Type="http://schemas.openxmlformats.org/officeDocument/2006/relationships/image" Target="../media/image16.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9.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4.jpeg"/><Relationship Id="rId16" Type="http://schemas.openxmlformats.org/officeDocument/2006/relationships/image" Target="../media/image11.jpeg"/><Relationship Id="rId20" Type="http://schemas.openxmlformats.org/officeDocument/2006/relationships/image" Target="../media/image13.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6.jpeg"/><Relationship Id="rId11" Type="http://schemas.openxmlformats.org/officeDocument/2006/relationships/hyperlink" Target="#' Alt Calc - Refined Products'!A1"/><Relationship Id="rId24" Type="http://schemas.openxmlformats.org/officeDocument/2006/relationships/image" Target="../media/image15.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7.png"/><Relationship Id="rId10" Type="http://schemas.openxmlformats.org/officeDocument/2006/relationships/image" Target="../media/image8.jpeg"/><Relationship Id="rId19" Type="http://schemas.openxmlformats.org/officeDocument/2006/relationships/hyperlink" Target="#NGLs!A1"/><Relationship Id="rId4" Type="http://schemas.openxmlformats.org/officeDocument/2006/relationships/image" Target="../media/image5.jpeg"/><Relationship Id="rId9" Type="http://schemas.openxmlformats.org/officeDocument/2006/relationships/hyperlink" Target="#Factors!A1"/><Relationship Id="rId14" Type="http://schemas.openxmlformats.org/officeDocument/2006/relationships/image" Target="../media/image10.jpeg"/><Relationship Id="rId22" Type="http://schemas.openxmlformats.org/officeDocument/2006/relationships/image" Target="../media/image14.png"/><Relationship Id="rId27" Type="http://schemas.openxmlformats.org/officeDocument/2006/relationships/hyperlink" Target="#'Lower Carbon Power'!A1"/><Relationship Id="rId30"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hyperlink" Target="#Abbreviations!A1"/><Relationship Id="rId18" Type="http://schemas.openxmlformats.org/officeDocument/2006/relationships/image" Target="../media/image12.jpeg"/><Relationship Id="rId26" Type="http://schemas.openxmlformats.org/officeDocument/2006/relationships/image" Target="../media/image16.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9.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4.jpeg"/><Relationship Id="rId16" Type="http://schemas.openxmlformats.org/officeDocument/2006/relationships/image" Target="../media/image11.jpeg"/><Relationship Id="rId20" Type="http://schemas.openxmlformats.org/officeDocument/2006/relationships/image" Target="../media/image13.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6.jpeg"/><Relationship Id="rId11" Type="http://schemas.openxmlformats.org/officeDocument/2006/relationships/hyperlink" Target="#' Alt Calc - Refined Products'!A1"/><Relationship Id="rId24" Type="http://schemas.openxmlformats.org/officeDocument/2006/relationships/image" Target="../media/image15.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7.png"/><Relationship Id="rId10" Type="http://schemas.openxmlformats.org/officeDocument/2006/relationships/image" Target="../media/image8.jpeg"/><Relationship Id="rId19" Type="http://schemas.openxmlformats.org/officeDocument/2006/relationships/hyperlink" Target="#NGLs!A1"/><Relationship Id="rId4" Type="http://schemas.openxmlformats.org/officeDocument/2006/relationships/image" Target="../media/image5.jpeg"/><Relationship Id="rId9" Type="http://schemas.openxmlformats.org/officeDocument/2006/relationships/hyperlink" Target="#Factors!A1"/><Relationship Id="rId14" Type="http://schemas.openxmlformats.org/officeDocument/2006/relationships/image" Target="../media/image10.jpeg"/><Relationship Id="rId22" Type="http://schemas.openxmlformats.org/officeDocument/2006/relationships/image" Target="../media/image14.png"/><Relationship Id="rId27" Type="http://schemas.openxmlformats.org/officeDocument/2006/relationships/hyperlink" Target="#'Lower Carbon Power'!A1"/><Relationship Id="rId30"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hyperlink" Target="#Abbreviations!A1"/><Relationship Id="rId18" Type="http://schemas.openxmlformats.org/officeDocument/2006/relationships/image" Target="../media/image12.jpeg"/><Relationship Id="rId26" Type="http://schemas.openxmlformats.org/officeDocument/2006/relationships/image" Target="../media/image16.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9.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4.jpeg"/><Relationship Id="rId16" Type="http://schemas.openxmlformats.org/officeDocument/2006/relationships/image" Target="../media/image11.jpeg"/><Relationship Id="rId20" Type="http://schemas.openxmlformats.org/officeDocument/2006/relationships/image" Target="../media/image13.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6.jpeg"/><Relationship Id="rId11" Type="http://schemas.openxmlformats.org/officeDocument/2006/relationships/hyperlink" Target="#' Alt Calc - Refined Products'!A1"/><Relationship Id="rId24" Type="http://schemas.openxmlformats.org/officeDocument/2006/relationships/image" Target="../media/image15.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7.png"/><Relationship Id="rId10" Type="http://schemas.openxmlformats.org/officeDocument/2006/relationships/image" Target="../media/image8.jpeg"/><Relationship Id="rId19" Type="http://schemas.openxmlformats.org/officeDocument/2006/relationships/hyperlink" Target="#NGLs!A1"/><Relationship Id="rId4" Type="http://schemas.openxmlformats.org/officeDocument/2006/relationships/image" Target="../media/image5.jpeg"/><Relationship Id="rId9" Type="http://schemas.openxmlformats.org/officeDocument/2006/relationships/hyperlink" Target="#Factors!A1"/><Relationship Id="rId14" Type="http://schemas.openxmlformats.org/officeDocument/2006/relationships/image" Target="../media/image10.jpeg"/><Relationship Id="rId22" Type="http://schemas.openxmlformats.org/officeDocument/2006/relationships/image" Target="../media/image14.png"/><Relationship Id="rId27" Type="http://schemas.openxmlformats.org/officeDocument/2006/relationships/hyperlink" Target="#'Lower Carbon Power'!A1"/><Relationship Id="rId30"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hyperlink" Target="#Abbreviations!A1"/><Relationship Id="rId18" Type="http://schemas.openxmlformats.org/officeDocument/2006/relationships/image" Target="../media/image12.jpeg"/><Relationship Id="rId26" Type="http://schemas.openxmlformats.org/officeDocument/2006/relationships/image" Target="../media/image16.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9.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4.jpeg"/><Relationship Id="rId16" Type="http://schemas.openxmlformats.org/officeDocument/2006/relationships/image" Target="../media/image11.jpeg"/><Relationship Id="rId20" Type="http://schemas.openxmlformats.org/officeDocument/2006/relationships/image" Target="../media/image13.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6.jpeg"/><Relationship Id="rId11" Type="http://schemas.openxmlformats.org/officeDocument/2006/relationships/hyperlink" Target="#' Alt Calc - Refined Products'!A1"/><Relationship Id="rId24" Type="http://schemas.openxmlformats.org/officeDocument/2006/relationships/image" Target="../media/image15.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7.png"/><Relationship Id="rId10" Type="http://schemas.openxmlformats.org/officeDocument/2006/relationships/image" Target="../media/image8.jpeg"/><Relationship Id="rId19" Type="http://schemas.openxmlformats.org/officeDocument/2006/relationships/hyperlink" Target="#NGLs!A1"/><Relationship Id="rId4" Type="http://schemas.openxmlformats.org/officeDocument/2006/relationships/image" Target="../media/image5.jpeg"/><Relationship Id="rId9" Type="http://schemas.openxmlformats.org/officeDocument/2006/relationships/hyperlink" Target="#Factors!A1"/><Relationship Id="rId14" Type="http://schemas.openxmlformats.org/officeDocument/2006/relationships/image" Target="../media/image10.jpeg"/><Relationship Id="rId22" Type="http://schemas.openxmlformats.org/officeDocument/2006/relationships/image" Target="../media/image14.png"/><Relationship Id="rId27" Type="http://schemas.openxmlformats.org/officeDocument/2006/relationships/hyperlink" Target="#'Lower Carbon Power'!A1"/><Relationship Id="rId30"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hyperlink" Target="#Abbreviations!A1"/><Relationship Id="rId18" Type="http://schemas.openxmlformats.org/officeDocument/2006/relationships/image" Target="../media/image12.jpeg"/><Relationship Id="rId26" Type="http://schemas.openxmlformats.org/officeDocument/2006/relationships/image" Target="../media/image16.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9.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4.jpeg"/><Relationship Id="rId16" Type="http://schemas.openxmlformats.org/officeDocument/2006/relationships/image" Target="../media/image11.jpeg"/><Relationship Id="rId20" Type="http://schemas.openxmlformats.org/officeDocument/2006/relationships/image" Target="../media/image13.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6.jpeg"/><Relationship Id="rId11" Type="http://schemas.openxmlformats.org/officeDocument/2006/relationships/hyperlink" Target="#' Alt Calc - Refined Products'!A1"/><Relationship Id="rId24" Type="http://schemas.openxmlformats.org/officeDocument/2006/relationships/image" Target="../media/image15.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7.png"/><Relationship Id="rId10" Type="http://schemas.openxmlformats.org/officeDocument/2006/relationships/image" Target="../media/image8.jpeg"/><Relationship Id="rId19" Type="http://schemas.openxmlformats.org/officeDocument/2006/relationships/hyperlink" Target="#NGLs!A1"/><Relationship Id="rId4" Type="http://schemas.openxmlformats.org/officeDocument/2006/relationships/image" Target="../media/image5.jpeg"/><Relationship Id="rId9" Type="http://schemas.openxmlformats.org/officeDocument/2006/relationships/hyperlink" Target="#Factors!A1"/><Relationship Id="rId14" Type="http://schemas.openxmlformats.org/officeDocument/2006/relationships/image" Target="../media/image10.jpeg"/><Relationship Id="rId22" Type="http://schemas.openxmlformats.org/officeDocument/2006/relationships/image" Target="../media/image14.png"/><Relationship Id="rId27" Type="http://schemas.openxmlformats.org/officeDocument/2006/relationships/hyperlink" Target="#'Lower Carbon Power'!A1"/><Relationship Id="rId30"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hyperlink" Target="#Abbreviations!A1"/><Relationship Id="rId18" Type="http://schemas.openxmlformats.org/officeDocument/2006/relationships/image" Target="../media/image12.jpeg"/><Relationship Id="rId26" Type="http://schemas.openxmlformats.org/officeDocument/2006/relationships/image" Target="../media/image16.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9.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4.jpeg"/><Relationship Id="rId16" Type="http://schemas.openxmlformats.org/officeDocument/2006/relationships/image" Target="../media/image11.jpeg"/><Relationship Id="rId20" Type="http://schemas.openxmlformats.org/officeDocument/2006/relationships/image" Target="../media/image13.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6.jpeg"/><Relationship Id="rId11" Type="http://schemas.openxmlformats.org/officeDocument/2006/relationships/hyperlink" Target="#' Alt Calc - Refined Products'!A1"/><Relationship Id="rId24" Type="http://schemas.openxmlformats.org/officeDocument/2006/relationships/image" Target="../media/image15.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7.png"/><Relationship Id="rId10" Type="http://schemas.openxmlformats.org/officeDocument/2006/relationships/image" Target="../media/image8.jpeg"/><Relationship Id="rId19" Type="http://schemas.openxmlformats.org/officeDocument/2006/relationships/hyperlink" Target="#NGLs!A1"/><Relationship Id="rId4" Type="http://schemas.openxmlformats.org/officeDocument/2006/relationships/image" Target="../media/image5.jpeg"/><Relationship Id="rId9" Type="http://schemas.openxmlformats.org/officeDocument/2006/relationships/hyperlink" Target="#Factors!A1"/><Relationship Id="rId14" Type="http://schemas.openxmlformats.org/officeDocument/2006/relationships/image" Target="../media/image10.jpeg"/><Relationship Id="rId22" Type="http://schemas.openxmlformats.org/officeDocument/2006/relationships/image" Target="../media/image14.png"/><Relationship Id="rId27" Type="http://schemas.openxmlformats.org/officeDocument/2006/relationships/hyperlink" Target="#'Lower Carbon Power'!A1"/><Relationship Id="rId30"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3" Type="http://schemas.openxmlformats.org/officeDocument/2006/relationships/image" Target="../media/image8.jpeg"/><Relationship Id="rId18" Type="http://schemas.openxmlformats.org/officeDocument/2006/relationships/hyperlink" Target="#'Oil and Refined Products'!A1"/><Relationship Id="rId26" Type="http://schemas.openxmlformats.org/officeDocument/2006/relationships/hyperlink" Target="#Hydrogen!A1"/><Relationship Id="rId3" Type="http://schemas.openxmlformats.org/officeDocument/2006/relationships/image" Target="../media/image21.png"/><Relationship Id="rId21" Type="http://schemas.openxmlformats.org/officeDocument/2006/relationships/image" Target="../media/image12.jpeg"/><Relationship Id="rId7" Type="http://schemas.openxmlformats.org/officeDocument/2006/relationships/image" Target="../media/image5.jpeg"/><Relationship Id="rId12" Type="http://schemas.openxmlformats.org/officeDocument/2006/relationships/hyperlink" Target="#Factors!A1"/><Relationship Id="rId17" Type="http://schemas.openxmlformats.org/officeDocument/2006/relationships/image" Target="../media/image10.jpeg"/><Relationship Id="rId25" Type="http://schemas.openxmlformats.org/officeDocument/2006/relationships/image" Target="../media/image14.png"/><Relationship Id="rId33" Type="http://schemas.openxmlformats.org/officeDocument/2006/relationships/image" Target="../media/image18.png"/><Relationship Id="rId2" Type="http://schemas.openxmlformats.org/officeDocument/2006/relationships/image" Target="../media/image20.png"/><Relationship Id="rId16" Type="http://schemas.openxmlformats.org/officeDocument/2006/relationships/hyperlink" Target="#Abbreviations!A1"/><Relationship Id="rId20" Type="http://schemas.openxmlformats.org/officeDocument/2006/relationships/hyperlink" Target="#Home!A1"/><Relationship Id="rId29" Type="http://schemas.openxmlformats.org/officeDocument/2006/relationships/image" Target="../media/image16.png"/><Relationship Id="rId1" Type="http://schemas.openxmlformats.org/officeDocument/2006/relationships/image" Target="../media/image19.png"/><Relationship Id="rId6" Type="http://schemas.openxmlformats.org/officeDocument/2006/relationships/hyperlink" Target="#'Terms and Conditions'!A1"/><Relationship Id="rId11" Type="http://schemas.openxmlformats.org/officeDocument/2006/relationships/image" Target="../media/image7.jpeg"/><Relationship Id="rId24" Type="http://schemas.openxmlformats.org/officeDocument/2006/relationships/hyperlink" Target="#'Gas and LNG'!A1"/><Relationship Id="rId32" Type="http://schemas.openxmlformats.org/officeDocument/2006/relationships/hyperlink" Target="#FAQ!A1"/><Relationship Id="rId5" Type="http://schemas.openxmlformats.org/officeDocument/2006/relationships/image" Target="../media/image4.jpeg"/><Relationship Id="rId15" Type="http://schemas.openxmlformats.org/officeDocument/2006/relationships/image" Target="../media/image9.jpeg"/><Relationship Id="rId23" Type="http://schemas.openxmlformats.org/officeDocument/2006/relationships/image" Target="../media/image13.jpeg"/><Relationship Id="rId28" Type="http://schemas.openxmlformats.org/officeDocument/2006/relationships/hyperlink" Target="#Biofuels!A1"/><Relationship Id="rId10" Type="http://schemas.openxmlformats.org/officeDocument/2006/relationships/hyperlink" Target="#Dashboard!A1"/><Relationship Id="rId19" Type="http://schemas.openxmlformats.org/officeDocument/2006/relationships/image" Target="../media/image11.jpeg"/><Relationship Id="rId31" Type="http://schemas.openxmlformats.org/officeDocument/2006/relationships/image" Target="../media/image17.png"/><Relationship Id="rId4" Type="http://schemas.openxmlformats.org/officeDocument/2006/relationships/hyperlink" Target="#Education!A1"/><Relationship Id="rId9" Type="http://schemas.openxmlformats.org/officeDocument/2006/relationships/image" Target="../media/image6.jpeg"/><Relationship Id="rId14" Type="http://schemas.openxmlformats.org/officeDocument/2006/relationships/hyperlink" Target="#' Alt Calc - Refined Products'!A1"/><Relationship Id="rId22" Type="http://schemas.openxmlformats.org/officeDocument/2006/relationships/hyperlink" Target="#NGLs!A1"/><Relationship Id="rId27" Type="http://schemas.openxmlformats.org/officeDocument/2006/relationships/image" Target="../media/image15.png"/><Relationship Id="rId30" Type="http://schemas.openxmlformats.org/officeDocument/2006/relationships/hyperlink" Target="#'Lower Carbon Power'!A1"/><Relationship Id="rId8" Type="http://schemas.openxmlformats.org/officeDocument/2006/relationships/hyperlink" Target="#'User Guide'!A1"/></Relationships>
</file>

<file path=xl/drawings/_rels/drawing3.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hyperlink" Target="#Abbreviations!A1"/><Relationship Id="rId18" Type="http://schemas.openxmlformats.org/officeDocument/2006/relationships/image" Target="../media/image12.jpeg"/><Relationship Id="rId26" Type="http://schemas.openxmlformats.org/officeDocument/2006/relationships/image" Target="../media/image16.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9.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4.jpeg"/><Relationship Id="rId16" Type="http://schemas.openxmlformats.org/officeDocument/2006/relationships/image" Target="../media/image11.jpeg"/><Relationship Id="rId20" Type="http://schemas.openxmlformats.org/officeDocument/2006/relationships/image" Target="../media/image13.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6.jpeg"/><Relationship Id="rId11" Type="http://schemas.openxmlformats.org/officeDocument/2006/relationships/hyperlink" Target="#' Alt Calc - Refined Products'!A1"/><Relationship Id="rId24" Type="http://schemas.openxmlformats.org/officeDocument/2006/relationships/image" Target="../media/image15.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7.png"/><Relationship Id="rId10" Type="http://schemas.openxmlformats.org/officeDocument/2006/relationships/image" Target="../media/image8.jpeg"/><Relationship Id="rId19" Type="http://schemas.openxmlformats.org/officeDocument/2006/relationships/hyperlink" Target="#NGLs!A1"/><Relationship Id="rId4" Type="http://schemas.openxmlformats.org/officeDocument/2006/relationships/image" Target="../media/image5.jpeg"/><Relationship Id="rId9" Type="http://schemas.openxmlformats.org/officeDocument/2006/relationships/hyperlink" Target="#Factors!A1"/><Relationship Id="rId14" Type="http://schemas.openxmlformats.org/officeDocument/2006/relationships/image" Target="../media/image10.jpeg"/><Relationship Id="rId22" Type="http://schemas.openxmlformats.org/officeDocument/2006/relationships/image" Target="../media/image14.png"/><Relationship Id="rId27" Type="http://schemas.openxmlformats.org/officeDocument/2006/relationships/hyperlink" Target="#'Lower Carbon Power'!A1"/><Relationship Id="rId30" Type="http://schemas.openxmlformats.org/officeDocument/2006/relationships/image" Target="../media/image18.png"/></Relationships>
</file>

<file path=xl/drawings/_rels/drawing4.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hyperlink" Target="#Abbreviations!A1"/><Relationship Id="rId18" Type="http://schemas.openxmlformats.org/officeDocument/2006/relationships/image" Target="../media/image12.jpeg"/><Relationship Id="rId26" Type="http://schemas.openxmlformats.org/officeDocument/2006/relationships/image" Target="../media/image16.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9.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4.jpeg"/><Relationship Id="rId16" Type="http://schemas.openxmlformats.org/officeDocument/2006/relationships/image" Target="../media/image11.jpeg"/><Relationship Id="rId20" Type="http://schemas.openxmlformats.org/officeDocument/2006/relationships/image" Target="../media/image13.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6.jpeg"/><Relationship Id="rId11" Type="http://schemas.openxmlformats.org/officeDocument/2006/relationships/hyperlink" Target="#' Alt Calc - Refined Products'!A1"/><Relationship Id="rId24" Type="http://schemas.openxmlformats.org/officeDocument/2006/relationships/image" Target="../media/image15.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7.png"/><Relationship Id="rId10" Type="http://schemas.openxmlformats.org/officeDocument/2006/relationships/image" Target="../media/image8.jpeg"/><Relationship Id="rId19" Type="http://schemas.openxmlformats.org/officeDocument/2006/relationships/hyperlink" Target="#NGLs!A1"/><Relationship Id="rId4" Type="http://schemas.openxmlformats.org/officeDocument/2006/relationships/image" Target="../media/image5.jpeg"/><Relationship Id="rId9" Type="http://schemas.openxmlformats.org/officeDocument/2006/relationships/hyperlink" Target="#Factors!A1"/><Relationship Id="rId14" Type="http://schemas.openxmlformats.org/officeDocument/2006/relationships/image" Target="../media/image10.jpeg"/><Relationship Id="rId22" Type="http://schemas.openxmlformats.org/officeDocument/2006/relationships/image" Target="../media/image14.png"/><Relationship Id="rId27" Type="http://schemas.openxmlformats.org/officeDocument/2006/relationships/hyperlink" Target="#'Lower Carbon Power'!A1"/><Relationship Id="rId30" Type="http://schemas.openxmlformats.org/officeDocument/2006/relationships/image" Target="../media/image18.png"/></Relationships>
</file>

<file path=xl/drawings/_rels/drawing5.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hyperlink" Target="#Abbreviations!A1"/><Relationship Id="rId18" Type="http://schemas.openxmlformats.org/officeDocument/2006/relationships/image" Target="../media/image12.jpeg"/><Relationship Id="rId26" Type="http://schemas.openxmlformats.org/officeDocument/2006/relationships/image" Target="../media/image16.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9.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4.jpeg"/><Relationship Id="rId16" Type="http://schemas.openxmlformats.org/officeDocument/2006/relationships/image" Target="../media/image11.jpeg"/><Relationship Id="rId20" Type="http://schemas.openxmlformats.org/officeDocument/2006/relationships/image" Target="../media/image13.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6.jpeg"/><Relationship Id="rId11" Type="http://schemas.openxmlformats.org/officeDocument/2006/relationships/hyperlink" Target="#' Alt Calc - Refined Products'!A1"/><Relationship Id="rId24" Type="http://schemas.openxmlformats.org/officeDocument/2006/relationships/image" Target="../media/image15.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7.png"/><Relationship Id="rId10" Type="http://schemas.openxmlformats.org/officeDocument/2006/relationships/image" Target="../media/image8.jpeg"/><Relationship Id="rId19" Type="http://schemas.openxmlformats.org/officeDocument/2006/relationships/hyperlink" Target="#NGLs!A1"/><Relationship Id="rId4" Type="http://schemas.openxmlformats.org/officeDocument/2006/relationships/image" Target="../media/image5.jpeg"/><Relationship Id="rId9" Type="http://schemas.openxmlformats.org/officeDocument/2006/relationships/hyperlink" Target="#Factors!A1"/><Relationship Id="rId14" Type="http://schemas.openxmlformats.org/officeDocument/2006/relationships/image" Target="../media/image10.jpeg"/><Relationship Id="rId22" Type="http://schemas.openxmlformats.org/officeDocument/2006/relationships/image" Target="../media/image14.png"/><Relationship Id="rId27" Type="http://schemas.openxmlformats.org/officeDocument/2006/relationships/hyperlink" Target="#'Lower Carbon Power'!A1"/><Relationship Id="rId30"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3" Type="http://schemas.openxmlformats.org/officeDocument/2006/relationships/hyperlink" Target="#'Refined Products - Alt Calc'!A1"/><Relationship Id="rId18" Type="http://schemas.openxmlformats.org/officeDocument/2006/relationships/image" Target="../media/image5.jpeg"/><Relationship Id="rId26" Type="http://schemas.openxmlformats.org/officeDocument/2006/relationships/image" Target="../media/image9.jpeg"/><Relationship Id="rId21" Type="http://schemas.openxmlformats.org/officeDocument/2006/relationships/hyperlink" Target="#Dashboard!A1"/><Relationship Id="rId34" Type="http://schemas.openxmlformats.org/officeDocument/2006/relationships/image" Target="../media/image15.png"/><Relationship Id="rId7" Type="http://schemas.openxmlformats.org/officeDocument/2006/relationships/hyperlink" Target="#NGLs!A1"/><Relationship Id="rId12" Type="http://schemas.openxmlformats.org/officeDocument/2006/relationships/image" Target="../media/image24.jpeg"/><Relationship Id="rId17" Type="http://schemas.openxmlformats.org/officeDocument/2006/relationships/hyperlink" Target="#'Terms and Conditions'!A1"/><Relationship Id="rId25" Type="http://schemas.openxmlformats.org/officeDocument/2006/relationships/hyperlink" Target="#' Alt Calc - Refined Products'!A1"/><Relationship Id="rId33" Type="http://schemas.openxmlformats.org/officeDocument/2006/relationships/image" Target="../media/image14.png"/><Relationship Id="rId38" Type="http://schemas.openxmlformats.org/officeDocument/2006/relationships/image" Target="../media/image18.png"/><Relationship Id="rId2" Type="http://schemas.openxmlformats.org/officeDocument/2006/relationships/chart" Target="../charts/chart2.xml"/><Relationship Id="rId16" Type="http://schemas.openxmlformats.org/officeDocument/2006/relationships/image" Target="../media/image4.jpeg"/><Relationship Id="rId20" Type="http://schemas.openxmlformats.org/officeDocument/2006/relationships/image" Target="../media/image6.jpeg"/><Relationship Id="rId29" Type="http://schemas.openxmlformats.org/officeDocument/2006/relationships/image" Target="../media/image11.jpeg"/><Relationship Id="rId1" Type="http://schemas.openxmlformats.org/officeDocument/2006/relationships/chart" Target="../charts/chart1.xml"/><Relationship Id="rId6" Type="http://schemas.openxmlformats.org/officeDocument/2006/relationships/hyperlink" Target="#'Gas and LNG'!A1"/><Relationship Id="rId11" Type="http://schemas.openxmlformats.org/officeDocument/2006/relationships/hyperlink" Target="#'Lower Carbon Power'!A1"/><Relationship Id="rId24" Type="http://schemas.openxmlformats.org/officeDocument/2006/relationships/image" Target="../media/image8.jpeg"/><Relationship Id="rId32" Type="http://schemas.openxmlformats.org/officeDocument/2006/relationships/image" Target="../media/image13.jpeg"/><Relationship Id="rId37" Type="http://schemas.openxmlformats.org/officeDocument/2006/relationships/hyperlink" Target="#FAQ!A1"/><Relationship Id="rId5" Type="http://schemas.openxmlformats.org/officeDocument/2006/relationships/image" Target="../media/image22.jpeg"/><Relationship Id="rId15" Type="http://schemas.openxmlformats.org/officeDocument/2006/relationships/hyperlink" Target="#Education!A1"/><Relationship Id="rId23" Type="http://schemas.openxmlformats.org/officeDocument/2006/relationships/hyperlink" Target="#Factors!A1"/><Relationship Id="rId28" Type="http://schemas.openxmlformats.org/officeDocument/2006/relationships/image" Target="../media/image10.jpeg"/><Relationship Id="rId36" Type="http://schemas.openxmlformats.org/officeDocument/2006/relationships/image" Target="../media/image17.png"/><Relationship Id="rId10" Type="http://schemas.openxmlformats.org/officeDocument/2006/relationships/image" Target="../media/image23.jpeg"/><Relationship Id="rId19" Type="http://schemas.openxmlformats.org/officeDocument/2006/relationships/hyperlink" Target="#'User Guide'!A1"/><Relationship Id="rId31" Type="http://schemas.openxmlformats.org/officeDocument/2006/relationships/image" Target="../media/image12.jpeg"/><Relationship Id="rId4" Type="http://schemas.openxmlformats.org/officeDocument/2006/relationships/hyperlink" Target="#'Oil and Refined Products'!A1"/><Relationship Id="rId9" Type="http://schemas.openxmlformats.org/officeDocument/2006/relationships/hyperlink" Target="#Hydrogen!A1"/><Relationship Id="rId14" Type="http://schemas.openxmlformats.org/officeDocument/2006/relationships/image" Target="../media/image25.png"/><Relationship Id="rId22" Type="http://schemas.openxmlformats.org/officeDocument/2006/relationships/image" Target="../media/image7.jpeg"/><Relationship Id="rId27" Type="http://schemas.openxmlformats.org/officeDocument/2006/relationships/hyperlink" Target="#Abbreviations!A1"/><Relationship Id="rId30" Type="http://schemas.openxmlformats.org/officeDocument/2006/relationships/hyperlink" Target="#Home!A1"/><Relationship Id="rId35" Type="http://schemas.openxmlformats.org/officeDocument/2006/relationships/image" Target="../media/image16.png"/><Relationship Id="rId8" Type="http://schemas.openxmlformats.org/officeDocument/2006/relationships/hyperlink" Target="#Biofuels!A1"/><Relationship Id="rId3" Type="http://schemas.openxmlformats.org/officeDocument/2006/relationships/chart" Target="../charts/chart3.xml"/></Relationships>
</file>

<file path=xl/drawings/_rels/drawing7.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hyperlink" Target="#Abbreviations!A1"/><Relationship Id="rId18" Type="http://schemas.openxmlformats.org/officeDocument/2006/relationships/image" Target="../media/image12.jpeg"/><Relationship Id="rId26" Type="http://schemas.openxmlformats.org/officeDocument/2006/relationships/image" Target="../media/image16.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9.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4.jpeg"/><Relationship Id="rId16" Type="http://schemas.openxmlformats.org/officeDocument/2006/relationships/image" Target="../media/image11.jpeg"/><Relationship Id="rId20" Type="http://schemas.openxmlformats.org/officeDocument/2006/relationships/image" Target="../media/image13.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6.jpeg"/><Relationship Id="rId11" Type="http://schemas.openxmlformats.org/officeDocument/2006/relationships/hyperlink" Target="#' Alt Calc - Refined Products'!A1"/><Relationship Id="rId24" Type="http://schemas.openxmlformats.org/officeDocument/2006/relationships/image" Target="../media/image15.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7.png"/><Relationship Id="rId10" Type="http://schemas.openxmlformats.org/officeDocument/2006/relationships/image" Target="../media/image8.jpeg"/><Relationship Id="rId19" Type="http://schemas.openxmlformats.org/officeDocument/2006/relationships/hyperlink" Target="#NGLs!A1"/><Relationship Id="rId4" Type="http://schemas.openxmlformats.org/officeDocument/2006/relationships/image" Target="../media/image5.jpeg"/><Relationship Id="rId9" Type="http://schemas.openxmlformats.org/officeDocument/2006/relationships/hyperlink" Target="#Factors!A1"/><Relationship Id="rId14" Type="http://schemas.openxmlformats.org/officeDocument/2006/relationships/image" Target="../media/image10.jpeg"/><Relationship Id="rId22" Type="http://schemas.openxmlformats.org/officeDocument/2006/relationships/image" Target="../media/image14.png"/><Relationship Id="rId27" Type="http://schemas.openxmlformats.org/officeDocument/2006/relationships/hyperlink" Target="#'Lower Carbon Power'!A1"/><Relationship Id="rId30" Type="http://schemas.openxmlformats.org/officeDocument/2006/relationships/image" Target="../media/image18.png"/></Relationships>
</file>

<file path=xl/drawings/_rels/drawing8.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hyperlink" Target="#Abbreviations!A1"/><Relationship Id="rId18" Type="http://schemas.openxmlformats.org/officeDocument/2006/relationships/image" Target="../media/image12.jpeg"/><Relationship Id="rId26" Type="http://schemas.openxmlformats.org/officeDocument/2006/relationships/image" Target="../media/image16.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9.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4.jpeg"/><Relationship Id="rId16" Type="http://schemas.openxmlformats.org/officeDocument/2006/relationships/image" Target="../media/image11.jpeg"/><Relationship Id="rId20" Type="http://schemas.openxmlformats.org/officeDocument/2006/relationships/image" Target="../media/image13.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6.jpeg"/><Relationship Id="rId11" Type="http://schemas.openxmlformats.org/officeDocument/2006/relationships/hyperlink" Target="#' Alt Calc - Refined Products'!A1"/><Relationship Id="rId24" Type="http://schemas.openxmlformats.org/officeDocument/2006/relationships/image" Target="../media/image15.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7.png"/><Relationship Id="rId10" Type="http://schemas.openxmlformats.org/officeDocument/2006/relationships/image" Target="../media/image8.jpeg"/><Relationship Id="rId19" Type="http://schemas.openxmlformats.org/officeDocument/2006/relationships/hyperlink" Target="#NGLs!A1"/><Relationship Id="rId4" Type="http://schemas.openxmlformats.org/officeDocument/2006/relationships/image" Target="../media/image5.jpeg"/><Relationship Id="rId9" Type="http://schemas.openxmlformats.org/officeDocument/2006/relationships/hyperlink" Target="#Factors!A1"/><Relationship Id="rId14" Type="http://schemas.openxmlformats.org/officeDocument/2006/relationships/image" Target="../media/image10.jpeg"/><Relationship Id="rId22" Type="http://schemas.openxmlformats.org/officeDocument/2006/relationships/image" Target="../media/image14.png"/><Relationship Id="rId27" Type="http://schemas.openxmlformats.org/officeDocument/2006/relationships/hyperlink" Target="#'Lower Carbon Power'!A1"/><Relationship Id="rId30" Type="http://schemas.openxmlformats.org/officeDocument/2006/relationships/image" Target="../media/image18.png"/></Relationships>
</file>

<file path=xl/drawings/_rels/drawing9.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hyperlink" Target="#Abbreviations!A1"/><Relationship Id="rId18" Type="http://schemas.openxmlformats.org/officeDocument/2006/relationships/image" Target="../media/image12.jpeg"/><Relationship Id="rId26" Type="http://schemas.openxmlformats.org/officeDocument/2006/relationships/image" Target="../media/image16.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9.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4.jpeg"/><Relationship Id="rId16" Type="http://schemas.openxmlformats.org/officeDocument/2006/relationships/image" Target="../media/image11.jpeg"/><Relationship Id="rId20" Type="http://schemas.openxmlformats.org/officeDocument/2006/relationships/image" Target="../media/image13.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6.jpeg"/><Relationship Id="rId11" Type="http://schemas.openxmlformats.org/officeDocument/2006/relationships/hyperlink" Target="#' Alt Calc - Refined Products'!A1"/><Relationship Id="rId24" Type="http://schemas.openxmlformats.org/officeDocument/2006/relationships/image" Target="../media/image15.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7.png"/><Relationship Id="rId10" Type="http://schemas.openxmlformats.org/officeDocument/2006/relationships/image" Target="../media/image8.jpeg"/><Relationship Id="rId19" Type="http://schemas.openxmlformats.org/officeDocument/2006/relationships/hyperlink" Target="#NGLs!A1"/><Relationship Id="rId4" Type="http://schemas.openxmlformats.org/officeDocument/2006/relationships/image" Target="../media/image5.jpeg"/><Relationship Id="rId9" Type="http://schemas.openxmlformats.org/officeDocument/2006/relationships/hyperlink" Target="#Factors!A1"/><Relationship Id="rId14" Type="http://schemas.openxmlformats.org/officeDocument/2006/relationships/image" Target="../media/image10.jpeg"/><Relationship Id="rId22" Type="http://schemas.openxmlformats.org/officeDocument/2006/relationships/image" Target="../media/image14.png"/><Relationship Id="rId27" Type="http://schemas.openxmlformats.org/officeDocument/2006/relationships/hyperlink" Target="#'Lower Carbon Power'!A1"/><Relationship Id="rId30"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absolute">
    <xdr:from>
      <xdr:col>0</xdr:col>
      <xdr:colOff>809625</xdr:colOff>
      <xdr:row>2</xdr:row>
      <xdr:rowOff>8162</xdr:rowOff>
    </xdr:from>
    <xdr:to>
      <xdr:col>3</xdr:col>
      <xdr:colOff>3394023</xdr:colOff>
      <xdr:row>19</xdr:row>
      <xdr:rowOff>19049</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
        <a:srcRect b="77590"/>
        <a:stretch/>
      </xdr:blipFill>
      <xdr:spPr>
        <a:xfrm>
          <a:off x="809625" y="1438273"/>
          <a:ext cx="10442523" cy="2933701"/>
        </a:xfrm>
        <a:prstGeom prst="rect">
          <a:avLst/>
        </a:prstGeom>
      </xdr:spPr>
    </xdr:pic>
    <xdr:clientData/>
  </xdr:twoCellAnchor>
  <xdr:twoCellAnchor>
    <xdr:from>
      <xdr:col>4</xdr:col>
      <xdr:colOff>124133</xdr:colOff>
      <xdr:row>0</xdr:row>
      <xdr:rowOff>186018</xdr:rowOff>
    </xdr:from>
    <xdr:to>
      <xdr:col>4</xdr:col>
      <xdr:colOff>745976</xdr:colOff>
      <xdr:row>0</xdr:row>
      <xdr:rowOff>888801</xdr:rowOff>
    </xdr:to>
    <xdr:pic>
      <xdr:nvPicPr>
        <xdr:cNvPr id="32" name="Picture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96180" y="186018"/>
          <a:ext cx="621843" cy="702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819150</xdr:colOff>
      <xdr:row>19</xdr:row>
      <xdr:rowOff>2066925</xdr:rowOff>
    </xdr:from>
    <xdr:to>
      <xdr:col>3</xdr:col>
      <xdr:colOff>3390900</xdr:colOff>
      <xdr:row>51</xdr:row>
      <xdr:rowOff>87086</xdr:rowOff>
    </xdr:to>
    <xdr:pic>
      <xdr:nvPicPr>
        <xdr:cNvPr id="10" name="Picture 1">
          <a:extLst>
            <a:ext uri="{FF2B5EF4-FFF2-40B4-BE49-F238E27FC236}">
              <a16:creationId xmlns:a16="http://schemas.microsoft.com/office/drawing/2014/main" id="{00000000-0008-0000-0000-00000A000000}"/>
            </a:ext>
            <a:ext uri="{147F2762-F138-4A5C-976F-8EAC2B608ADB}">
              <a16:predDERef xmlns:a16="http://schemas.microsoft.com/office/drawing/2014/main" pred="{00000000-0008-0000-0000-000004000000}"/>
            </a:ext>
          </a:extLst>
        </xdr:cNvPr>
        <xdr:cNvPicPr>
          <a:picLocks noChangeAspect="1"/>
        </xdr:cNvPicPr>
      </xdr:nvPicPr>
      <xdr:blipFill>
        <a:blip xmlns:r="http://schemas.openxmlformats.org/officeDocument/2006/relationships" r:embed="rId3"/>
        <a:stretch>
          <a:fillRect/>
        </a:stretch>
      </xdr:blipFill>
      <xdr:spPr>
        <a:xfrm>
          <a:off x="819150" y="6268811"/>
          <a:ext cx="10648950" cy="5280932"/>
        </a:xfrm>
        <a:prstGeom prst="rect">
          <a:avLst/>
        </a:prstGeom>
      </xdr:spPr>
    </xdr:pic>
    <xdr:clientData/>
  </xdr:twoCellAnchor>
  <xdr:twoCellAnchor>
    <xdr:from>
      <xdr:col>0</xdr:col>
      <xdr:colOff>0</xdr:colOff>
      <xdr:row>0</xdr:row>
      <xdr:rowOff>0</xdr:rowOff>
    </xdr:from>
    <xdr:to>
      <xdr:col>3</xdr:col>
      <xdr:colOff>4114166</xdr:colOff>
      <xdr:row>0</xdr:row>
      <xdr:rowOff>1190625</xdr:rowOff>
    </xdr:to>
    <xdr:grpSp>
      <xdr:nvGrpSpPr>
        <xdr:cNvPr id="13" name="Group 12">
          <a:extLst>
            <a:ext uri="{FF2B5EF4-FFF2-40B4-BE49-F238E27FC236}">
              <a16:creationId xmlns:a16="http://schemas.microsoft.com/office/drawing/2014/main" id="{65ED6F9E-B153-FEAC-03C3-0C8766A3DB99}"/>
            </a:ext>
          </a:extLst>
        </xdr:cNvPr>
        <xdr:cNvGrpSpPr/>
      </xdr:nvGrpSpPr>
      <xdr:grpSpPr>
        <a:xfrm>
          <a:off x="0" y="0"/>
          <a:ext cx="11877041" cy="1190625"/>
          <a:chOff x="0" y="0"/>
          <a:chExt cx="12198986" cy="1190625"/>
        </a:xfrm>
      </xdr:grpSpPr>
      <xdr:sp macro="" textlink="">
        <xdr:nvSpPr>
          <xdr:cNvPr id="180" name="TextBox 179">
            <a:extLst>
              <a:ext uri="{FF2B5EF4-FFF2-40B4-BE49-F238E27FC236}">
                <a16:creationId xmlns:a16="http://schemas.microsoft.com/office/drawing/2014/main" id="{00000000-0008-0000-0000-0000B4000000}"/>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181" name="TextBox 180">
            <a:extLst>
              <a:ext uri="{FF2B5EF4-FFF2-40B4-BE49-F238E27FC236}">
                <a16:creationId xmlns:a16="http://schemas.microsoft.com/office/drawing/2014/main" id="{00000000-0008-0000-0000-0000B5000000}"/>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182" name="TextBox 181">
            <a:extLst>
              <a:ext uri="{FF2B5EF4-FFF2-40B4-BE49-F238E27FC236}">
                <a16:creationId xmlns:a16="http://schemas.microsoft.com/office/drawing/2014/main" id="{00000000-0008-0000-0000-0000B6000000}"/>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183" name="Picture 182">
            <a:hlinkClick xmlns:r="http://schemas.openxmlformats.org/officeDocument/2006/relationships" r:id="rId4" tooltip="Education"/>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184" name="Picture 183">
            <a:hlinkClick xmlns:r="http://schemas.openxmlformats.org/officeDocument/2006/relationships" r:id="rId6" tooltip="Terms &amp; Conditions"/>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185" name="Picture 184">
            <a:hlinkClick xmlns:r="http://schemas.openxmlformats.org/officeDocument/2006/relationships" r:id="rId8" tooltip="User Guide"/>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186" name="Picture 185">
            <a:hlinkClick xmlns:r="http://schemas.openxmlformats.org/officeDocument/2006/relationships" r:id="rId10" tooltip="Dashboard"/>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187" name="Picture 186">
            <a:hlinkClick xmlns:r="http://schemas.openxmlformats.org/officeDocument/2006/relationships" r:id="rId12" tooltip="Factors"/>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188" name="Picture 187">
            <a:hlinkClick xmlns:r="http://schemas.openxmlformats.org/officeDocument/2006/relationships" r:id="rId14" tooltip="Alternative Calculations"/>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189" name="Picture 188">
            <a:hlinkClick xmlns:r="http://schemas.openxmlformats.org/officeDocument/2006/relationships" r:id="rId16" tooltip="Abbreviations"/>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190" name="Picture 189">
            <a:hlinkClick xmlns:r="http://schemas.openxmlformats.org/officeDocument/2006/relationships" r:id="rId18" tooltip="Oil and Refined Products"/>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191" name="Rectangle: Rounded Corners 190">
            <a:extLst>
              <a:ext uri="{FF2B5EF4-FFF2-40B4-BE49-F238E27FC236}">
                <a16:creationId xmlns:a16="http://schemas.microsoft.com/office/drawing/2014/main" id="{00000000-0008-0000-0000-0000BF000000}"/>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192" name="Rectangle: Rounded Corners 191">
            <a:extLst>
              <a:ext uri="{FF2B5EF4-FFF2-40B4-BE49-F238E27FC236}">
                <a16:creationId xmlns:a16="http://schemas.microsoft.com/office/drawing/2014/main" id="{00000000-0008-0000-0000-0000C0000000}"/>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193" name="Picture 192">
            <a:hlinkClick xmlns:r="http://schemas.openxmlformats.org/officeDocument/2006/relationships" r:id="rId20" tooltip="Home"/>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12" name="Group 11">
            <a:extLst>
              <a:ext uri="{FF2B5EF4-FFF2-40B4-BE49-F238E27FC236}">
                <a16:creationId xmlns:a16="http://schemas.microsoft.com/office/drawing/2014/main" id="{A7C53DB7-0083-CA71-FC6D-F465D1BDA60D}"/>
              </a:ext>
            </a:extLst>
          </xdr:cNvPr>
          <xdr:cNvGrpSpPr/>
        </xdr:nvGrpSpPr>
        <xdr:grpSpPr>
          <a:xfrm>
            <a:off x="8739731" y="304801"/>
            <a:ext cx="779626" cy="652742"/>
            <a:chOff x="8739731" y="304801"/>
            <a:chExt cx="779626" cy="652742"/>
          </a:xfrm>
        </xdr:grpSpPr>
        <xdr:pic>
          <xdr:nvPicPr>
            <xdr:cNvPr id="208" name="Picture 207">
              <a:hlinkClick xmlns:r="http://schemas.openxmlformats.org/officeDocument/2006/relationships" r:id="rId22" tooltip="Gas &amp; LNG"/>
              <a:extLst>
                <a:ext uri="{FF2B5EF4-FFF2-40B4-BE49-F238E27FC236}">
                  <a16:creationId xmlns:a16="http://schemas.microsoft.com/office/drawing/2014/main" id="{00000000-0008-0000-0000-0000D0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209" name="TextBox 208">
              <a:extLst>
                <a:ext uri="{FF2B5EF4-FFF2-40B4-BE49-F238E27FC236}">
                  <a16:creationId xmlns:a16="http://schemas.microsoft.com/office/drawing/2014/main" id="{00000000-0008-0000-0000-0000D1000000}"/>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195" name="Group 194">
            <a:hlinkClick xmlns:r="http://schemas.openxmlformats.org/officeDocument/2006/relationships" r:id="rId24"/>
            <a:extLst>
              <a:ext uri="{FF2B5EF4-FFF2-40B4-BE49-F238E27FC236}">
                <a16:creationId xmlns:a16="http://schemas.microsoft.com/office/drawing/2014/main" id="{00000000-0008-0000-0000-0000C3000000}"/>
              </a:ext>
            </a:extLst>
          </xdr:cNvPr>
          <xdr:cNvGrpSpPr/>
        </xdr:nvGrpSpPr>
        <xdr:grpSpPr>
          <a:xfrm>
            <a:off x="7963288" y="399140"/>
            <a:ext cx="936684" cy="558403"/>
            <a:chOff x="7252446" y="427715"/>
            <a:chExt cx="932330" cy="558403"/>
          </a:xfrm>
        </xdr:grpSpPr>
        <xdr:pic>
          <xdr:nvPicPr>
            <xdr:cNvPr id="206" name="Picture 205">
              <a:extLst>
                <a:ext uri="{FF2B5EF4-FFF2-40B4-BE49-F238E27FC236}">
                  <a16:creationId xmlns:a16="http://schemas.microsoft.com/office/drawing/2014/main" id="{00000000-0008-0000-0000-0000CE000000}"/>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5"/>
            <a:stretch>
              <a:fillRect/>
            </a:stretch>
          </xdr:blipFill>
          <xdr:spPr>
            <a:xfrm>
              <a:off x="7404131" y="427715"/>
              <a:ext cx="582522" cy="453422"/>
            </a:xfrm>
            <a:prstGeom prst="rect">
              <a:avLst/>
            </a:prstGeom>
          </xdr:spPr>
        </xdr:pic>
        <xdr:sp macro="" textlink="">
          <xdr:nvSpPr>
            <xdr:cNvPr id="207" name="TextBox 206">
              <a:extLst>
                <a:ext uri="{FF2B5EF4-FFF2-40B4-BE49-F238E27FC236}">
                  <a16:creationId xmlns:a16="http://schemas.microsoft.com/office/drawing/2014/main" id="{00000000-0008-0000-0000-0000CF000000}"/>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196" name="Group 195">
            <a:hlinkClick xmlns:r="http://schemas.openxmlformats.org/officeDocument/2006/relationships" r:id="rId26"/>
            <a:extLst>
              <a:ext uri="{FF2B5EF4-FFF2-40B4-BE49-F238E27FC236}">
                <a16:creationId xmlns:a16="http://schemas.microsoft.com/office/drawing/2014/main" id="{00000000-0008-0000-0000-0000C4000000}"/>
              </a:ext>
            </a:extLst>
          </xdr:cNvPr>
          <xdr:cNvGrpSpPr/>
        </xdr:nvGrpSpPr>
        <xdr:grpSpPr>
          <a:xfrm>
            <a:off x="10117854" y="449143"/>
            <a:ext cx="952892" cy="517367"/>
            <a:chOff x="9402658" y="477718"/>
            <a:chExt cx="952892" cy="517367"/>
          </a:xfrm>
        </xdr:grpSpPr>
        <xdr:pic>
          <xdr:nvPicPr>
            <xdr:cNvPr id="204" name="Picture 203">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27"/>
            <a:stretch>
              <a:fillRect/>
            </a:stretch>
          </xdr:blipFill>
          <xdr:spPr>
            <a:xfrm>
              <a:off x="9525454" y="477718"/>
              <a:ext cx="679846" cy="340639"/>
            </a:xfrm>
            <a:prstGeom prst="rect">
              <a:avLst/>
            </a:prstGeom>
          </xdr:spPr>
        </xdr:pic>
        <xdr:sp macro="" textlink="">
          <xdr:nvSpPr>
            <xdr:cNvPr id="205" name="TextBox 204">
              <a:extLst>
                <a:ext uri="{FF2B5EF4-FFF2-40B4-BE49-F238E27FC236}">
                  <a16:creationId xmlns:a16="http://schemas.microsoft.com/office/drawing/2014/main" id="{00000000-0008-0000-0000-0000CD000000}"/>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197" name="Group 196">
            <a:hlinkClick xmlns:r="http://schemas.openxmlformats.org/officeDocument/2006/relationships" r:id="rId28"/>
            <a:extLst>
              <a:ext uri="{FF2B5EF4-FFF2-40B4-BE49-F238E27FC236}">
                <a16:creationId xmlns:a16="http://schemas.microsoft.com/office/drawing/2014/main" id="{00000000-0008-0000-0000-0000C5000000}"/>
              </a:ext>
            </a:extLst>
          </xdr:cNvPr>
          <xdr:cNvGrpSpPr/>
        </xdr:nvGrpSpPr>
        <xdr:grpSpPr>
          <a:xfrm>
            <a:off x="9340366" y="249331"/>
            <a:ext cx="841559" cy="690282"/>
            <a:chOff x="8625170" y="277906"/>
            <a:chExt cx="841559" cy="690282"/>
          </a:xfrm>
        </xdr:grpSpPr>
        <xdr:pic>
          <xdr:nvPicPr>
            <xdr:cNvPr id="202" name="Picture 201">
              <a:extLst>
                <a:ext uri="{FF2B5EF4-FFF2-40B4-BE49-F238E27FC236}">
                  <a16:creationId xmlns:a16="http://schemas.microsoft.com/office/drawing/2014/main" id="{00000000-0008-0000-0000-0000CA000000}"/>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9"/>
            <a:stretch>
              <a:fillRect/>
            </a:stretch>
          </xdr:blipFill>
          <xdr:spPr>
            <a:xfrm>
              <a:off x="8686800" y="277906"/>
              <a:ext cx="685800" cy="577215"/>
            </a:xfrm>
            <a:prstGeom prst="rect">
              <a:avLst/>
            </a:prstGeom>
          </xdr:spPr>
        </xdr:pic>
        <xdr:sp macro="" textlink="">
          <xdr:nvSpPr>
            <xdr:cNvPr id="203" name="TextBox 202">
              <a:extLst>
                <a:ext uri="{FF2B5EF4-FFF2-40B4-BE49-F238E27FC236}">
                  <a16:creationId xmlns:a16="http://schemas.microsoft.com/office/drawing/2014/main" id="{00000000-0008-0000-0000-0000CB000000}"/>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198" name="Group 197">
            <a:hlinkClick xmlns:r="http://schemas.openxmlformats.org/officeDocument/2006/relationships" r:id="rId30"/>
            <a:extLst>
              <a:ext uri="{FF2B5EF4-FFF2-40B4-BE49-F238E27FC236}">
                <a16:creationId xmlns:a16="http://schemas.microsoft.com/office/drawing/2014/main" id="{00000000-0008-0000-0000-0000C6000000}"/>
              </a:ext>
            </a:extLst>
          </xdr:cNvPr>
          <xdr:cNvGrpSpPr/>
        </xdr:nvGrpSpPr>
        <xdr:grpSpPr>
          <a:xfrm>
            <a:off x="10773597" y="215530"/>
            <a:ext cx="1425389" cy="957239"/>
            <a:chOff x="10094261" y="244105"/>
            <a:chExt cx="1425389" cy="957239"/>
          </a:xfrm>
        </xdr:grpSpPr>
        <xdr:pic>
          <xdr:nvPicPr>
            <xdr:cNvPr id="200" name="Picture 199">
              <a:extLst>
                <a:ext uri="{FF2B5EF4-FFF2-40B4-BE49-F238E27FC236}">
                  <a16:creationId xmlns:a16="http://schemas.microsoft.com/office/drawing/2014/main" id="{00000000-0008-0000-0000-0000C8000000}"/>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31"/>
            <a:stretch>
              <a:fillRect/>
            </a:stretch>
          </xdr:blipFill>
          <xdr:spPr>
            <a:xfrm>
              <a:off x="10548612" y="244105"/>
              <a:ext cx="458002" cy="608284"/>
            </a:xfrm>
            <a:prstGeom prst="rect">
              <a:avLst/>
            </a:prstGeom>
          </xdr:spPr>
        </xdr:pic>
        <xdr:sp macro="" textlink="">
          <xdr:nvSpPr>
            <xdr:cNvPr id="201" name="TextBox 200">
              <a:extLst>
                <a:ext uri="{FF2B5EF4-FFF2-40B4-BE49-F238E27FC236}">
                  <a16:creationId xmlns:a16="http://schemas.microsoft.com/office/drawing/2014/main" id="{00000000-0008-0000-0000-0000C9000000}"/>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199" name="Rectangle: Rounded Corners 198">
            <a:extLst>
              <a:ext uri="{FF2B5EF4-FFF2-40B4-BE49-F238E27FC236}">
                <a16:creationId xmlns:a16="http://schemas.microsoft.com/office/drawing/2014/main" id="{00000000-0008-0000-0000-0000C7000000}"/>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5" name="Group 4">
            <a:hlinkClick xmlns:r="http://schemas.openxmlformats.org/officeDocument/2006/relationships" r:id="rId32"/>
            <a:extLst>
              <a:ext uri="{FF2B5EF4-FFF2-40B4-BE49-F238E27FC236}">
                <a16:creationId xmlns:a16="http://schemas.microsoft.com/office/drawing/2014/main" id="{93E7E967-8692-2D5D-BC7E-783E1617DC90}"/>
              </a:ext>
            </a:extLst>
          </xdr:cNvPr>
          <xdr:cNvGrpSpPr/>
        </xdr:nvGrpSpPr>
        <xdr:grpSpPr>
          <a:xfrm>
            <a:off x="1717819" y="429577"/>
            <a:ext cx="521114" cy="502920"/>
            <a:chOff x="1714500" y="434340"/>
            <a:chExt cx="521114" cy="502920"/>
          </a:xfrm>
        </xdr:grpSpPr>
        <xdr:pic>
          <xdr:nvPicPr>
            <xdr:cNvPr id="2" name="Picture 1">
              <a:extLst>
                <a:ext uri="{FF2B5EF4-FFF2-40B4-BE49-F238E27FC236}">
                  <a16:creationId xmlns:a16="http://schemas.microsoft.com/office/drawing/2014/main" id="{0E1007A2-0E2F-11CB-8A47-CBAC8B78B601}"/>
                </a:ext>
              </a:extLst>
            </xdr:cNvPr>
            <xdr:cNvPicPr>
              <a:picLocks noChangeAspect="1"/>
            </xdr:cNvPicPr>
          </xdr:nvPicPr>
          <xdr:blipFill>
            <a:blip xmlns:r="http://schemas.openxmlformats.org/officeDocument/2006/relationships" r:embed="rId33"/>
            <a:stretch>
              <a:fillRect/>
            </a:stretch>
          </xdr:blipFill>
          <xdr:spPr>
            <a:xfrm>
              <a:off x="1739946" y="434340"/>
              <a:ext cx="495668" cy="367536"/>
            </a:xfrm>
            <a:prstGeom prst="rect">
              <a:avLst/>
            </a:prstGeom>
          </xdr:spPr>
        </xdr:pic>
        <xdr:sp macro="" textlink="">
          <xdr:nvSpPr>
            <xdr:cNvPr id="3" name="TextBox 2">
              <a:extLst>
                <a:ext uri="{FF2B5EF4-FFF2-40B4-BE49-F238E27FC236}">
                  <a16:creationId xmlns:a16="http://schemas.microsoft.com/office/drawing/2014/main" id="{9864D042-196A-D86E-656D-87745E817290}"/>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1468937</xdr:colOff>
      <xdr:row>0</xdr:row>
      <xdr:rowOff>1190625</xdr:rowOff>
    </xdr:to>
    <xdr:grpSp>
      <xdr:nvGrpSpPr>
        <xdr:cNvPr id="67" name="Group 66">
          <a:extLst>
            <a:ext uri="{FF2B5EF4-FFF2-40B4-BE49-F238E27FC236}">
              <a16:creationId xmlns:a16="http://schemas.microsoft.com/office/drawing/2014/main" id="{10615AD3-653C-46EF-92DF-B81348BAA20F}"/>
            </a:ext>
          </a:extLst>
        </xdr:cNvPr>
        <xdr:cNvGrpSpPr/>
      </xdr:nvGrpSpPr>
      <xdr:grpSpPr>
        <a:xfrm>
          <a:off x="0" y="0"/>
          <a:ext cx="11898812" cy="1190625"/>
          <a:chOff x="0" y="0"/>
          <a:chExt cx="12198986" cy="1190625"/>
        </a:xfrm>
      </xdr:grpSpPr>
      <xdr:sp macro="" textlink="">
        <xdr:nvSpPr>
          <xdr:cNvPr id="68" name="TextBox 67">
            <a:extLst>
              <a:ext uri="{FF2B5EF4-FFF2-40B4-BE49-F238E27FC236}">
                <a16:creationId xmlns:a16="http://schemas.microsoft.com/office/drawing/2014/main" id="{ED04C812-9CE0-3147-E6CB-01AAC6A1ECB6}"/>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69" name="TextBox 68">
            <a:extLst>
              <a:ext uri="{FF2B5EF4-FFF2-40B4-BE49-F238E27FC236}">
                <a16:creationId xmlns:a16="http://schemas.microsoft.com/office/drawing/2014/main" id="{314CE8CF-7538-A135-9295-41BDD7893E5B}"/>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70" name="TextBox 69">
            <a:extLst>
              <a:ext uri="{FF2B5EF4-FFF2-40B4-BE49-F238E27FC236}">
                <a16:creationId xmlns:a16="http://schemas.microsoft.com/office/drawing/2014/main" id="{1BE5BC90-64CA-50B0-ABCB-7BED384F1ECE}"/>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71" name="Picture 70">
            <a:hlinkClick xmlns:r="http://schemas.openxmlformats.org/officeDocument/2006/relationships" r:id="rId1" tooltip="Education"/>
            <a:extLst>
              <a:ext uri="{FF2B5EF4-FFF2-40B4-BE49-F238E27FC236}">
                <a16:creationId xmlns:a16="http://schemas.microsoft.com/office/drawing/2014/main" id="{3FEA7327-81DB-5F8B-23D0-6F52DAFF0F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72" name="Picture 71">
            <a:hlinkClick xmlns:r="http://schemas.openxmlformats.org/officeDocument/2006/relationships" r:id="rId3" tooltip="Terms &amp; Conditions"/>
            <a:extLst>
              <a:ext uri="{FF2B5EF4-FFF2-40B4-BE49-F238E27FC236}">
                <a16:creationId xmlns:a16="http://schemas.microsoft.com/office/drawing/2014/main" id="{64DEB7A5-27F8-F410-B4C7-1744E32C6DE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73" name="Picture 72">
            <a:hlinkClick xmlns:r="http://schemas.openxmlformats.org/officeDocument/2006/relationships" r:id="rId5" tooltip="User Guide"/>
            <a:extLst>
              <a:ext uri="{FF2B5EF4-FFF2-40B4-BE49-F238E27FC236}">
                <a16:creationId xmlns:a16="http://schemas.microsoft.com/office/drawing/2014/main" id="{5602ED2A-8837-43BA-62F5-7443D86B6B0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74" name="Picture 73">
            <a:hlinkClick xmlns:r="http://schemas.openxmlformats.org/officeDocument/2006/relationships" r:id="rId7" tooltip="Dashboard"/>
            <a:extLst>
              <a:ext uri="{FF2B5EF4-FFF2-40B4-BE49-F238E27FC236}">
                <a16:creationId xmlns:a16="http://schemas.microsoft.com/office/drawing/2014/main" id="{3406AFA0-CB9C-8C4B-CD64-7B86A2F6DD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75" name="Picture 74">
            <a:hlinkClick xmlns:r="http://schemas.openxmlformats.org/officeDocument/2006/relationships" r:id="rId9" tooltip="Factors"/>
            <a:extLst>
              <a:ext uri="{FF2B5EF4-FFF2-40B4-BE49-F238E27FC236}">
                <a16:creationId xmlns:a16="http://schemas.microsoft.com/office/drawing/2014/main" id="{592FD1D3-3C37-312B-8799-2D83AC9B04F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76" name="Picture 75">
            <a:hlinkClick xmlns:r="http://schemas.openxmlformats.org/officeDocument/2006/relationships" r:id="rId11" tooltip="Alternative Calculations"/>
            <a:extLst>
              <a:ext uri="{FF2B5EF4-FFF2-40B4-BE49-F238E27FC236}">
                <a16:creationId xmlns:a16="http://schemas.microsoft.com/office/drawing/2014/main" id="{0DF2C5A3-AE93-5D2D-5358-9167227CF83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77" name="Picture 76">
            <a:hlinkClick xmlns:r="http://schemas.openxmlformats.org/officeDocument/2006/relationships" r:id="rId13" tooltip="Abbreviations"/>
            <a:extLst>
              <a:ext uri="{FF2B5EF4-FFF2-40B4-BE49-F238E27FC236}">
                <a16:creationId xmlns:a16="http://schemas.microsoft.com/office/drawing/2014/main" id="{93B8A344-85CB-AC74-C9D2-CA6DAF69E47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78" name="Picture 77">
            <a:hlinkClick xmlns:r="http://schemas.openxmlformats.org/officeDocument/2006/relationships" r:id="rId15" tooltip="Oil and Refined Products"/>
            <a:extLst>
              <a:ext uri="{FF2B5EF4-FFF2-40B4-BE49-F238E27FC236}">
                <a16:creationId xmlns:a16="http://schemas.microsoft.com/office/drawing/2014/main" id="{83C64D11-979F-6739-6B63-E2A869AACD5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79" name="Rectangle: Rounded Corners 78">
            <a:extLst>
              <a:ext uri="{FF2B5EF4-FFF2-40B4-BE49-F238E27FC236}">
                <a16:creationId xmlns:a16="http://schemas.microsoft.com/office/drawing/2014/main" id="{6AA4082A-EA2B-1E7F-BCD2-2F9CEDD130BE}"/>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80" name="Rectangle: Rounded Corners 79">
            <a:extLst>
              <a:ext uri="{FF2B5EF4-FFF2-40B4-BE49-F238E27FC236}">
                <a16:creationId xmlns:a16="http://schemas.microsoft.com/office/drawing/2014/main" id="{9392B190-C710-279B-C460-E4F6607C9CE0}"/>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81" name="Picture 80">
            <a:hlinkClick xmlns:r="http://schemas.openxmlformats.org/officeDocument/2006/relationships" r:id="rId17" tooltip="Home"/>
            <a:extLst>
              <a:ext uri="{FF2B5EF4-FFF2-40B4-BE49-F238E27FC236}">
                <a16:creationId xmlns:a16="http://schemas.microsoft.com/office/drawing/2014/main" id="{26E136D0-F192-DA0D-AD2D-236FF6DBC89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82" name="Group 81">
            <a:extLst>
              <a:ext uri="{FF2B5EF4-FFF2-40B4-BE49-F238E27FC236}">
                <a16:creationId xmlns:a16="http://schemas.microsoft.com/office/drawing/2014/main" id="{CC307B87-734E-4D20-8DB8-E1692157CC45}"/>
              </a:ext>
            </a:extLst>
          </xdr:cNvPr>
          <xdr:cNvGrpSpPr/>
        </xdr:nvGrpSpPr>
        <xdr:grpSpPr>
          <a:xfrm>
            <a:off x="8739731" y="304801"/>
            <a:ext cx="779626" cy="652742"/>
            <a:chOff x="8739731" y="304801"/>
            <a:chExt cx="779626" cy="652742"/>
          </a:xfrm>
        </xdr:grpSpPr>
        <xdr:pic>
          <xdr:nvPicPr>
            <xdr:cNvPr id="99" name="Picture 98">
              <a:hlinkClick xmlns:r="http://schemas.openxmlformats.org/officeDocument/2006/relationships" r:id="rId19" tooltip="Gas &amp; LNG"/>
              <a:extLst>
                <a:ext uri="{FF2B5EF4-FFF2-40B4-BE49-F238E27FC236}">
                  <a16:creationId xmlns:a16="http://schemas.microsoft.com/office/drawing/2014/main" id="{50DC70CE-94BC-B1F8-EC44-B91977A3E8B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100" name="TextBox 99">
              <a:extLst>
                <a:ext uri="{FF2B5EF4-FFF2-40B4-BE49-F238E27FC236}">
                  <a16:creationId xmlns:a16="http://schemas.microsoft.com/office/drawing/2014/main" id="{9278E903-18B9-6CA0-3F50-9BE049E85C62}"/>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83" name="Group 82">
            <a:hlinkClick xmlns:r="http://schemas.openxmlformats.org/officeDocument/2006/relationships" r:id="rId21"/>
            <a:extLst>
              <a:ext uri="{FF2B5EF4-FFF2-40B4-BE49-F238E27FC236}">
                <a16:creationId xmlns:a16="http://schemas.microsoft.com/office/drawing/2014/main" id="{735175A4-E612-DA4F-0DA6-A0BE58F966E1}"/>
              </a:ext>
            </a:extLst>
          </xdr:cNvPr>
          <xdr:cNvGrpSpPr/>
        </xdr:nvGrpSpPr>
        <xdr:grpSpPr>
          <a:xfrm>
            <a:off x="7963288" y="399140"/>
            <a:ext cx="936684" cy="558403"/>
            <a:chOff x="7252446" y="427715"/>
            <a:chExt cx="932330" cy="558403"/>
          </a:xfrm>
        </xdr:grpSpPr>
        <xdr:pic>
          <xdr:nvPicPr>
            <xdr:cNvPr id="97" name="Picture 96">
              <a:extLst>
                <a:ext uri="{FF2B5EF4-FFF2-40B4-BE49-F238E27FC236}">
                  <a16:creationId xmlns:a16="http://schemas.microsoft.com/office/drawing/2014/main" id="{F659B330-58A3-39E5-CEBE-5B21014430E6}"/>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98" name="TextBox 97">
              <a:extLst>
                <a:ext uri="{FF2B5EF4-FFF2-40B4-BE49-F238E27FC236}">
                  <a16:creationId xmlns:a16="http://schemas.microsoft.com/office/drawing/2014/main" id="{195B25A3-DDE7-5D67-187C-491020697D15}"/>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84" name="Group 83">
            <a:hlinkClick xmlns:r="http://schemas.openxmlformats.org/officeDocument/2006/relationships" r:id="rId23"/>
            <a:extLst>
              <a:ext uri="{FF2B5EF4-FFF2-40B4-BE49-F238E27FC236}">
                <a16:creationId xmlns:a16="http://schemas.microsoft.com/office/drawing/2014/main" id="{AE46FF36-8DCA-39E9-F43F-688AACB991E8}"/>
              </a:ext>
            </a:extLst>
          </xdr:cNvPr>
          <xdr:cNvGrpSpPr/>
        </xdr:nvGrpSpPr>
        <xdr:grpSpPr>
          <a:xfrm>
            <a:off x="10117854" y="449143"/>
            <a:ext cx="952892" cy="517367"/>
            <a:chOff x="9402658" y="477718"/>
            <a:chExt cx="952892" cy="517367"/>
          </a:xfrm>
        </xdr:grpSpPr>
        <xdr:pic>
          <xdr:nvPicPr>
            <xdr:cNvPr id="95" name="Picture 94">
              <a:extLst>
                <a:ext uri="{FF2B5EF4-FFF2-40B4-BE49-F238E27FC236}">
                  <a16:creationId xmlns:a16="http://schemas.microsoft.com/office/drawing/2014/main" id="{61C410F9-6234-0FA6-5F5C-368B0D9F30E5}"/>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96" name="TextBox 95">
              <a:extLst>
                <a:ext uri="{FF2B5EF4-FFF2-40B4-BE49-F238E27FC236}">
                  <a16:creationId xmlns:a16="http://schemas.microsoft.com/office/drawing/2014/main" id="{EC80492C-AA5B-8178-6601-1213198A15B1}"/>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85" name="Group 84">
            <a:hlinkClick xmlns:r="http://schemas.openxmlformats.org/officeDocument/2006/relationships" r:id="rId25"/>
            <a:extLst>
              <a:ext uri="{FF2B5EF4-FFF2-40B4-BE49-F238E27FC236}">
                <a16:creationId xmlns:a16="http://schemas.microsoft.com/office/drawing/2014/main" id="{BE2E6C17-D0E0-DF64-744E-88041F1ADE23}"/>
              </a:ext>
            </a:extLst>
          </xdr:cNvPr>
          <xdr:cNvGrpSpPr/>
        </xdr:nvGrpSpPr>
        <xdr:grpSpPr>
          <a:xfrm>
            <a:off x="9340366" y="249331"/>
            <a:ext cx="841559" cy="690282"/>
            <a:chOff x="8625170" y="277906"/>
            <a:chExt cx="841559" cy="690282"/>
          </a:xfrm>
        </xdr:grpSpPr>
        <xdr:pic>
          <xdr:nvPicPr>
            <xdr:cNvPr id="93" name="Picture 92">
              <a:extLst>
                <a:ext uri="{FF2B5EF4-FFF2-40B4-BE49-F238E27FC236}">
                  <a16:creationId xmlns:a16="http://schemas.microsoft.com/office/drawing/2014/main" id="{A94AD29A-7E48-35EE-DB59-06119A2653EB}"/>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94" name="TextBox 93">
              <a:extLst>
                <a:ext uri="{FF2B5EF4-FFF2-40B4-BE49-F238E27FC236}">
                  <a16:creationId xmlns:a16="http://schemas.microsoft.com/office/drawing/2014/main" id="{6A69DFD5-1BF9-1D26-888F-B00856C26A7C}"/>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86" name="Group 85">
            <a:hlinkClick xmlns:r="http://schemas.openxmlformats.org/officeDocument/2006/relationships" r:id="rId27"/>
            <a:extLst>
              <a:ext uri="{FF2B5EF4-FFF2-40B4-BE49-F238E27FC236}">
                <a16:creationId xmlns:a16="http://schemas.microsoft.com/office/drawing/2014/main" id="{BCA27AED-E4A2-59C7-DCA9-C71C6465FE32}"/>
              </a:ext>
            </a:extLst>
          </xdr:cNvPr>
          <xdr:cNvGrpSpPr/>
        </xdr:nvGrpSpPr>
        <xdr:grpSpPr>
          <a:xfrm>
            <a:off x="10773597" y="215530"/>
            <a:ext cx="1425389" cy="957239"/>
            <a:chOff x="10094261" y="244105"/>
            <a:chExt cx="1425389" cy="957239"/>
          </a:xfrm>
        </xdr:grpSpPr>
        <xdr:pic>
          <xdr:nvPicPr>
            <xdr:cNvPr id="91" name="Picture 90">
              <a:extLst>
                <a:ext uri="{FF2B5EF4-FFF2-40B4-BE49-F238E27FC236}">
                  <a16:creationId xmlns:a16="http://schemas.microsoft.com/office/drawing/2014/main" id="{DBD07566-CFA9-9122-8B17-A32727A40F21}"/>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92" name="TextBox 91">
              <a:extLst>
                <a:ext uri="{FF2B5EF4-FFF2-40B4-BE49-F238E27FC236}">
                  <a16:creationId xmlns:a16="http://schemas.microsoft.com/office/drawing/2014/main" id="{195BC905-2D06-713A-D88B-697EFA43E116}"/>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87" name="Rectangle: Rounded Corners 86">
            <a:extLst>
              <a:ext uri="{FF2B5EF4-FFF2-40B4-BE49-F238E27FC236}">
                <a16:creationId xmlns:a16="http://schemas.microsoft.com/office/drawing/2014/main" id="{DD019DF9-4020-EB40-0209-859E4113E538}"/>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88" name="Group 87">
            <a:hlinkClick xmlns:r="http://schemas.openxmlformats.org/officeDocument/2006/relationships" r:id="rId29"/>
            <a:extLst>
              <a:ext uri="{FF2B5EF4-FFF2-40B4-BE49-F238E27FC236}">
                <a16:creationId xmlns:a16="http://schemas.microsoft.com/office/drawing/2014/main" id="{C3291C95-844A-CC72-7405-B5EF34984397}"/>
              </a:ext>
            </a:extLst>
          </xdr:cNvPr>
          <xdr:cNvGrpSpPr/>
        </xdr:nvGrpSpPr>
        <xdr:grpSpPr>
          <a:xfrm>
            <a:off x="1717819" y="429577"/>
            <a:ext cx="521114" cy="502920"/>
            <a:chOff x="1714500" y="434340"/>
            <a:chExt cx="521114" cy="502920"/>
          </a:xfrm>
        </xdr:grpSpPr>
        <xdr:pic>
          <xdr:nvPicPr>
            <xdr:cNvPr id="89" name="Picture 88">
              <a:extLst>
                <a:ext uri="{FF2B5EF4-FFF2-40B4-BE49-F238E27FC236}">
                  <a16:creationId xmlns:a16="http://schemas.microsoft.com/office/drawing/2014/main" id="{01B00A18-C1C5-E6F5-C1C3-EC8F3DDB0E79}"/>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90" name="TextBox 89">
              <a:extLst>
                <a:ext uri="{FF2B5EF4-FFF2-40B4-BE49-F238E27FC236}">
                  <a16:creationId xmlns:a16="http://schemas.microsoft.com/office/drawing/2014/main" id="{22D70FB5-4344-C42B-3E34-8A31F45E16E0}"/>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1251223</xdr:colOff>
      <xdr:row>0</xdr:row>
      <xdr:rowOff>1190625</xdr:rowOff>
    </xdr:to>
    <xdr:grpSp>
      <xdr:nvGrpSpPr>
        <xdr:cNvPr id="101" name="Group 100">
          <a:extLst>
            <a:ext uri="{FF2B5EF4-FFF2-40B4-BE49-F238E27FC236}">
              <a16:creationId xmlns:a16="http://schemas.microsoft.com/office/drawing/2014/main" id="{3880F891-A1CE-4277-A1A8-E83A6EA4C377}"/>
            </a:ext>
          </a:extLst>
        </xdr:cNvPr>
        <xdr:cNvGrpSpPr/>
      </xdr:nvGrpSpPr>
      <xdr:grpSpPr>
        <a:xfrm>
          <a:off x="0" y="0"/>
          <a:ext cx="11881123" cy="1190625"/>
          <a:chOff x="0" y="0"/>
          <a:chExt cx="12198986" cy="1190625"/>
        </a:xfrm>
      </xdr:grpSpPr>
      <xdr:sp macro="" textlink="">
        <xdr:nvSpPr>
          <xdr:cNvPr id="102" name="TextBox 101">
            <a:extLst>
              <a:ext uri="{FF2B5EF4-FFF2-40B4-BE49-F238E27FC236}">
                <a16:creationId xmlns:a16="http://schemas.microsoft.com/office/drawing/2014/main" id="{A93ACA17-2139-E915-18B2-C6565540F17E}"/>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103" name="TextBox 102">
            <a:extLst>
              <a:ext uri="{FF2B5EF4-FFF2-40B4-BE49-F238E27FC236}">
                <a16:creationId xmlns:a16="http://schemas.microsoft.com/office/drawing/2014/main" id="{0F796B34-2975-31A1-DFEE-8222EA7EE65A}"/>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104" name="TextBox 103">
            <a:extLst>
              <a:ext uri="{FF2B5EF4-FFF2-40B4-BE49-F238E27FC236}">
                <a16:creationId xmlns:a16="http://schemas.microsoft.com/office/drawing/2014/main" id="{16035031-BC18-F91C-5F14-434AEAC4C78A}"/>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105" name="Picture 104">
            <a:hlinkClick xmlns:r="http://schemas.openxmlformats.org/officeDocument/2006/relationships" r:id="rId1" tooltip="Education"/>
            <a:extLst>
              <a:ext uri="{FF2B5EF4-FFF2-40B4-BE49-F238E27FC236}">
                <a16:creationId xmlns:a16="http://schemas.microsoft.com/office/drawing/2014/main" id="{4C9E1789-CE66-CB0F-BDCD-290C4BA972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106" name="Picture 105">
            <a:hlinkClick xmlns:r="http://schemas.openxmlformats.org/officeDocument/2006/relationships" r:id="rId3" tooltip="Terms &amp; Conditions"/>
            <a:extLst>
              <a:ext uri="{FF2B5EF4-FFF2-40B4-BE49-F238E27FC236}">
                <a16:creationId xmlns:a16="http://schemas.microsoft.com/office/drawing/2014/main" id="{65240A92-B659-EC8D-3B2C-3F4BE8D20B0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107" name="Picture 106">
            <a:hlinkClick xmlns:r="http://schemas.openxmlformats.org/officeDocument/2006/relationships" r:id="rId5" tooltip="User Guide"/>
            <a:extLst>
              <a:ext uri="{FF2B5EF4-FFF2-40B4-BE49-F238E27FC236}">
                <a16:creationId xmlns:a16="http://schemas.microsoft.com/office/drawing/2014/main" id="{FDE55B45-A683-9C4B-9C6D-F13C6135F12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108" name="Picture 107">
            <a:hlinkClick xmlns:r="http://schemas.openxmlformats.org/officeDocument/2006/relationships" r:id="rId7" tooltip="Dashboard"/>
            <a:extLst>
              <a:ext uri="{FF2B5EF4-FFF2-40B4-BE49-F238E27FC236}">
                <a16:creationId xmlns:a16="http://schemas.microsoft.com/office/drawing/2014/main" id="{99ADBF53-37D2-14B8-0F0B-C2EEEA612B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109" name="Picture 108">
            <a:hlinkClick xmlns:r="http://schemas.openxmlformats.org/officeDocument/2006/relationships" r:id="rId9" tooltip="Factors"/>
            <a:extLst>
              <a:ext uri="{FF2B5EF4-FFF2-40B4-BE49-F238E27FC236}">
                <a16:creationId xmlns:a16="http://schemas.microsoft.com/office/drawing/2014/main" id="{4805F84D-994E-314A-7FB5-E81295F3BDA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110" name="Picture 109">
            <a:hlinkClick xmlns:r="http://schemas.openxmlformats.org/officeDocument/2006/relationships" r:id="rId11" tooltip="Alternative Calculations"/>
            <a:extLst>
              <a:ext uri="{FF2B5EF4-FFF2-40B4-BE49-F238E27FC236}">
                <a16:creationId xmlns:a16="http://schemas.microsoft.com/office/drawing/2014/main" id="{67EB5858-75F0-65B9-4901-27420D207B7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111" name="Picture 110">
            <a:hlinkClick xmlns:r="http://schemas.openxmlformats.org/officeDocument/2006/relationships" r:id="rId13" tooltip="Abbreviations"/>
            <a:extLst>
              <a:ext uri="{FF2B5EF4-FFF2-40B4-BE49-F238E27FC236}">
                <a16:creationId xmlns:a16="http://schemas.microsoft.com/office/drawing/2014/main" id="{2FEE890F-CA0E-EB7F-B097-FABBFABEFDC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112" name="Picture 111">
            <a:hlinkClick xmlns:r="http://schemas.openxmlformats.org/officeDocument/2006/relationships" r:id="rId15" tooltip="Oil and Refined Products"/>
            <a:extLst>
              <a:ext uri="{FF2B5EF4-FFF2-40B4-BE49-F238E27FC236}">
                <a16:creationId xmlns:a16="http://schemas.microsoft.com/office/drawing/2014/main" id="{8515440F-71E0-47C6-FD3F-BFEA6C49007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113" name="Rectangle: Rounded Corners 112">
            <a:extLst>
              <a:ext uri="{FF2B5EF4-FFF2-40B4-BE49-F238E27FC236}">
                <a16:creationId xmlns:a16="http://schemas.microsoft.com/office/drawing/2014/main" id="{E8866003-A678-C0F0-CCEE-1F94B2A8CD30}"/>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114" name="Rectangle: Rounded Corners 113">
            <a:extLst>
              <a:ext uri="{FF2B5EF4-FFF2-40B4-BE49-F238E27FC236}">
                <a16:creationId xmlns:a16="http://schemas.microsoft.com/office/drawing/2014/main" id="{5C0678C4-5E51-F635-D0AE-BC6AFBAD227B}"/>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115" name="Picture 114">
            <a:hlinkClick xmlns:r="http://schemas.openxmlformats.org/officeDocument/2006/relationships" r:id="rId17" tooltip="Home"/>
            <a:extLst>
              <a:ext uri="{FF2B5EF4-FFF2-40B4-BE49-F238E27FC236}">
                <a16:creationId xmlns:a16="http://schemas.microsoft.com/office/drawing/2014/main" id="{12F85B43-9D95-2C30-F19D-8DF74ABCF69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116" name="Group 115">
            <a:extLst>
              <a:ext uri="{FF2B5EF4-FFF2-40B4-BE49-F238E27FC236}">
                <a16:creationId xmlns:a16="http://schemas.microsoft.com/office/drawing/2014/main" id="{DDFD1329-2C2A-4A98-AB42-79B658CF49CE}"/>
              </a:ext>
            </a:extLst>
          </xdr:cNvPr>
          <xdr:cNvGrpSpPr/>
        </xdr:nvGrpSpPr>
        <xdr:grpSpPr>
          <a:xfrm>
            <a:off x="8739731" y="304801"/>
            <a:ext cx="779626" cy="652742"/>
            <a:chOff x="8739731" y="304801"/>
            <a:chExt cx="779626" cy="652742"/>
          </a:xfrm>
        </xdr:grpSpPr>
        <xdr:pic>
          <xdr:nvPicPr>
            <xdr:cNvPr id="133" name="Picture 132">
              <a:hlinkClick xmlns:r="http://schemas.openxmlformats.org/officeDocument/2006/relationships" r:id="rId19" tooltip="Gas &amp; LNG"/>
              <a:extLst>
                <a:ext uri="{FF2B5EF4-FFF2-40B4-BE49-F238E27FC236}">
                  <a16:creationId xmlns:a16="http://schemas.microsoft.com/office/drawing/2014/main" id="{D989A184-46B5-3E70-CDF1-4185E720DD2F}"/>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134" name="TextBox 133">
              <a:extLst>
                <a:ext uri="{FF2B5EF4-FFF2-40B4-BE49-F238E27FC236}">
                  <a16:creationId xmlns:a16="http://schemas.microsoft.com/office/drawing/2014/main" id="{136916D5-394B-2985-7255-C87416487671}"/>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117" name="Group 116">
            <a:hlinkClick xmlns:r="http://schemas.openxmlformats.org/officeDocument/2006/relationships" r:id="rId21"/>
            <a:extLst>
              <a:ext uri="{FF2B5EF4-FFF2-40B4-BE49-F238E27FC236}">
                <a16:creationId xmlns:a16="http://schemas.microsoft.com/office/drawing/2014/main" id="{64B930D7-EA03-CB5B-3909-EA8B6E7EF737}"/>
              </a:ext>
            </a:extLst>
          </xdr:cNvPr>
          <xdr:cNvGrpSpPr/>
        </xdr:nvGrpSpPr>
        <xdr:grpSpPr>
          <a:xfrm>
            <a:off x="7963288" y="399140"/>
            <a:ext cx="936684" cy="558403"/>
            <a:chOff x="7252446" y="427715"/>
            <a:chExt cx="932330" cy="558403"/>
          </a:xfrm>
        </xdr:grpSpPr>
        <xdr:pic>
          <xdr:nvPicPr>
            <xdr:cNvPr id="131" name="Picture 130">
              <a:extLst>
                <a:ext uri="{FF2B5EF4-FFF2-40B4-BE49-F238E27FC236}">
                  <a16:creationId xmlns:a16="http://schemas.microsoft.com/office/drawing/2014/main" id="{2AB011AF-E494-A617-7687-EFEED15ECE5A}"/>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132" name="TextBox 131">
              <a:extLst>
                <a:ext uri="{FF2B5EF4-FFF2-40B4-BE49-F238E27FC236}">
                  <a16:creationId xmlns:a16="http://schemas.microsoft.com/office/drawing/2014/main" id="{48618CE6-5793-CC52-31D5-EF857AAE3647}"/>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118" name="Group 117">
            <a:hlinkClick xmlns:r="http://schemas.openxmlformats.org/officeDocument/2006/relationships" r:id="rId23"/>
            <a:extLst>
              <a:ext uri="{FF2B5EF4-FFF2-40B4-BE49-F238E27FC236}">
                <a16:creationId xmlns:a16="http://schemas.microsoft.com/office/drawing/2014/main" id="{637DF23E-9C56-20CC-C335-C43CCF158A29}"/>
              </a:ext>
            </a:extLst>
          </xdr:cNvPr>
          <xdr:cNvGrpSpPr/>
        </xdr:nvGrpSpPr>
        <xdr:grpSpPr>
          <a:xfrm>
            <a:off x="10117854" y="449143"/>
            <a:ext cx="952892" cy="517367"/>
            <a:chOff x="9402658" y="477718"/>
            <a:chExt cx="952892" cy="517367"/>
          </a:xfrm>
        </xdr:grpSpPr>
        <xdr:pic>
          <xdr:nvPicPr>
            <xdr:cNvPr id="129" name="Picture 128">
              <a:extLst>
                <a:ext uri="{FF2B5EF4-FFF2-40B4-BE49-F238E27FC236}">
                  <a16:creationId xmlns:a16="http://schemas.microsoft.com/office/drawing/2014/main" id="{426A6F86-C741-AA45-2F94-D8D480D9BECE}"/>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130" name="TextBox 129">
              <a:extLst>
                <a:ext uri="{FF2B5EF4-FFF2-40B4-BE49-F238E27FC236}">
                  <a16:creationId xmlns:a16="http://schemas.microsoft.com/office/drawing/2014/main" id="{8551FCDC-EFD0-12EA-2640-883D4FEC6812}"/>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119" name="Group 118">
            <a:hlinkClick xmlns:r="http://schemas.openxmlformats.org/officeDocument/2006/relationships" r:id="rId25"/>
            <a:extLst>
              <a:ext uri="{FF2B5EF4-FFF2-40B4-BE49-F238E27FC236}">
                <a16:creationId xmlns:a16="http://schemas.microsoft.com/office/drawing/2014/main" id="{9ADBACDF-D1B2-A9F5-4B11-13C3057ABFAD}"/>
              </a:ext>
            </a:extLst>
          </xdr:cNvPr>
          <xdr:cNvGrpSpPr/>
        </xdr:nvGrpSpPr>
        <xdr:grpSpPr>
          <a:xfrm>
            <a:off x="9340366" y="249331"/>
            <a:ext cx="841559" cy="690282"/>
            <a:chOff x="8625170" y="277906"/>
            <a:chExt cx="841559" cy="690282"/>
          </a:xfrm>
        </xdr:grpSpPr>
        <xdr:pic>
          <xdr:nvPicPr>
            <xdr:cNvPr id="127" name="Picture 126">
              <a:extLst>
                <a:ext uri="{FF2B5EF4-FFF2-40B4-BE49-F238E27FC236}">
                  <a16:creationId xmlns:a16="http://schemas.microsoft.com/office/drawing/2014/main" id="{14EB402B-BFF4-CE9A-2FD9-D0463E5276E8}"/>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128" name="TextBox 127">
              <a:extLst>
                <a:ext uri="{FF2B5EF4-FFF2-40B4-BE49-F238E27FC236}">
                  <a16:creationId xmlns:a16="http://schemas.microsoft.com/office/drawing/2014/main" id="{409F2E4C-2D34-5958-1FF7-00D01BA902A6}"/>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120" name="Group 119">
            <a:hlinkClick xmlns:r="http://schemas.openxmlformats.org/officeDocument/2006/relationships" r:id="rId27"/>
            <a:extLst>
              <a:ext uri="{FF2B5EF4-FFF2-40B4-BE49-F238E27FC236}">
                <a16:creationId xmlns:a16="http://schemas.microsoft.com/office/drawing/2014/main" id="{EDB2FD40-5BD0-7EF0-2F8E-83528E0DF9C7}"/>
              </a:ext>
            </a:extLst>
          </xdr:cNvPr>
          <xdr:cNvGrpSpPr/>
        </xdr:nvGrpSpPr>
        <xdr:grpSpPr>
          <a:xfrm>
            <a:off x="10773597" y="215530"/>
            <a:ext cx="1425389" cy="957239"/>
            <a:chOff x="10094261" y="244105"/>
            <a:chExt cx="1425389" cy="957239"/>
          </a:xfrm>
        </xdr:grpSpPr>
        <xdr:pic>
          <xdr:nvPicPr>
            <xdr:cNvPr id="125" name="Picture 124">
              <a:extLst>
                <a:ext uri="{FF2B5EF4-FFF2-40B4-BE49-F238E27FC236}">
                  <a16:creationId xmlns:a16="http://schemas.microsoft.com/office/drawing/2014/main" id="{0D5B044F-0280-DB07-8DD1-F320FA65D85A}"/>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126" name="TextBox 125">
              <a:extLst>
                <a:ext uri="{FF2B5EF4-FFF2-40B4-BE49-F238E27FC236}">
                  <a16:creationId xmlns:a16="http://schemas.microsoft.com/office/drawing/2014/main" id="{5FFE582F-A136-5055-4812-5F38A4D0A320}"/>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121" name="Rectangle: Rounded Corners 120">
            <a:extLst>
              <a:ext uri="{FF2B5EF4-FFF2-40B4-BE49-F238E27FC236}">
                <a16:creationId xmlns:a16="http://schemas.microsoft.com/office/drawing/2014/main" id="{0692C98B-6F6D-5787-3256-5965F6367E10}"/>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122" name="Group 121">
            <a:hlinkClick xmlns:r="http://schemas.openxmlformats.org/officeDocument/2006/relationships" r:id="rId29"/>
            <a:extLst>
              <a:ext uri="{FF2B5EF4-FFF2-40B4-BE49-F238E27FC236}">
                <a16:creationId xmlns:a16="http://schemas.microsoft.com/office/drawing/2014/main" id="{DAFE79C8-82E7-6049-7FC5-C3EE69417456}"/>
              </a:ext>
            </a:extLst>
          </xdr:cNvPr>
          <xdr:cNvGrpSpPr/>
        </xdr:nvGrpSpPr>
        <xdr:grpSpPr>
          <a:xfrm>
            <a:off x="1717819" y="429577"/>
            <a:ext cx="521114" cy="502920"/>
            <a:chOff x="1714500" y="434340"/>
            <a:chExt cx="521114" cy="502920"/>
          </a:xfrm>
        </xdr:grpSpPr>
        <xdr:pic>
          <xdr:nvPicPr>
            <xdr:cNvPr id="123" name="Picture 122">
              <a:extLst>
                <a:ext uri="{FF2B5EF4-FFF2-40B4-BE49-F238E27FC236}">
                  <a16:creationId xmlns:a16="http://schemas.microsoft.com/office/drawing/2014/main" id="{BFAC2126-DB39-E5BE-13B8-8D45960C3D93}"/>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124" name="TextBox 123">
              <a:extLst>
                <a:ext uri="{FF2B5EF4-FFF2-40B4-BE49-F238E27FC236}">
                  <a16:creationId xmlns:a16="http://schemas.microsoft.com/office/drawing/2014/main" id="{3997BFDE-89CF-5F72-8322-4D0A9B401D60}"/>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1185909</xdr:colOff>
      <xdr:row>0</xdr:row>
      <xdr:rowOff>1190625</xdr:rowOff>
    </xdr:to>
    <xdr:grpSp>
      <xdr:nvGrpSpPr>
        <xdr:cNvPr id="67" name="Group 66">
          <a:extLst>
            <a:ext uri="{FF2B5EF4-FFF2-40B4-BE49-F238E27FC236}">
              <a16:creationId xmlns:a16="http://schemas.microsoft.com/office/drawing/2014/main" id="{CF7B17FF-CFAA-4DC4-B2FF-FF93DB9110B0}"/>
            </a:ext>
          </a:extLst>
        </xdr:cNvPr>
        <xdr:cNvGrpSpPr/>
      </xdr:nvGrpSpPr>
      <xdr:grpSpPr>
        <a:xfrm>
          <a:off x="0" y="0"/>
          <a:ext cx="11892009" cy="1190625"/>
          <a:chOff x="0" y="0"/>
          <a:chExt cx="12198986" cy="1190625"/>
        </a:xfrm>
      </xdr:grpSpPr>
      <xdr:sp macro="" textlink="">
        <xdr:nvSpPr>
          <xdr:cNvPr id="68" name="TextBox 67">
            <a:extLst>
              <a:ext uri="{FF2B5EF4-FFF2-40B4-BE49-F238E27FC236}">
                <a16:creationId xmlns:a16="http://schemas.microsoft.com/office/drawing/2014/main" id="{D4D0C56A-9E46-C330-1641-C2541F205F4D}"/>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69" name="TextBox 68">
            <a:extLst>
              <a:ext uri="{FF2B5EF4-FFF2-40B4-BE49-F238E27FC236}">
                <a16:creationId xmlns:a16="http://schemas.microsoft.com/office/drawing/2014/main" id="{5DD10465-D488-A70A-55AE-36D2A9301A63}"/>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70" name="TextBox 69">
            <a:extLst>
              <a:ext uri="{FF2B5EF4-FFF2-40B4-BE49-F238E27FC236}">
                <a16:creationId xmlns:a16="http://schemas.microsoft.com/office/drawing/2014/main" id="{E615A754-ACFB-29F8-004E-528599B1AC5C}"/>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71" name="Picture 70">
            <a:hlinkClick xmlns:r="http://schemas.openxmlformats.org/officeDocument/2006/relationships" r:id="rId1" tooltip="Education"/>
            <a:extLst>
              <a:ext uri="{FF2B5EF4-FFF2-40B4-BE49-F238E27FC236}">
                <a16:creationId xmlns:a16="http://schemas.microsoft.com/office/drawing/2014/main" id="{D0E82111-9D2A-54A7-0D88-43E123EFF1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72" name="Picture 71">
            <a:hlinkClick xmlns:r="http://schemas.openxmlformats.org/officeDocument/2006/relationships" r:id="rId3" tooltip="Terms &amp; Conditions"/>
            <a:extLst>
              <a:ext uri="{FF2B5EF4-FFF2-40B4-BE49-F238E27FC236}">
                <a16:creationId xmlns:a16="http://schemas.microsoft.com/office/drawing/2014/main" id="{80A1CD0D-52B7-ADBB-E823-B144C941D4E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73" name="Picture 72">
            <a:hlinkClick xmlns:r="http://schemas.openxmlformats.org/officeDocument/2006/relationships" r:id="rId5" tooltip="User Guide"/>
            <a:extLst>
              <a:ext uri="{FF2B5EF4-FFF2-40B4-BE49-F238E27FC236}">
                <a16:creationId xmlns:a16="http://schemas.microsoft.com/office/drawing/2014/main" id="{B420CA27-4F99-CE42-3BCF-0E657859C70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74" name="Picture 73">
            <a:hlinkClick xmlns:r="http://schemas.openxmlformats.org/officeDocument/2006/relationships" r:id="rId7" tooltip="Dashboard"/>
            <a:extLst>
              <a:ext uri="{FF2B5EF4-FFF2-40B4-BE49-F238E27FC236}">
                <a16:creationId xmlns:a16="http://schemas.microsoft.com/office/drawing/2014/main" id="{B6047E49-CB5B-A39E-A456-31A4A10C54D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75" name="Picture 74">
            <a:hlinkClick xmlns:r="http://schemas.openxmlformats.org/officeDocument/2006/relationships" r:id="rId9" tooltip="Factors"/>
            <a:extLst>
              <a:ext uri="{FF2B5EF4-FFF2-40B4-BE49-F238E27FC236}">
                <a16:creationId xmlns:a16="http://schemas.microsoft.com/office/drawing/2014/main" id="{42BD481A-15F6-B62D-EFBC-21244DE2395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76" name="Picture 75">
            <a:hlinkClick xmlns:r="http://schemas.openxmlformats.org/officeDocument/2006/relationships" r:id="rId11" tooltip="Alternative Calculations"/>
            <a:extLst>
              <a:ext uri="{FF2B5EF4-FFF2-40B4-BE49-F238E27FC236}">
                <a16:creationId xmlns:a16="http://schemas.microsoft.com/office/drawing/2014/main" id="{F78F62D4-9EF5-F51E-A6C7-7A68A8D623D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77" name="Picture 76">
            <a:hlinkClick xmlns:r="http://schemas.openxmlformats.org/officeDocument/2006/relationships" r:id="rId13" tooltip="Abbreviations"/>
            <a:extLst>
              <a:ext uri="{FF2B5EF4-FFF2-40B4-BE49-F238E27FC236}">
                <a16:creationId xmlns:a16="http://schemas.microsoft.com/office/drawing/2014/main" id="{69A3B375-DA7B-3F44-915D-4AB6B5B5708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78" name="Picture 77">
            <a:hlinkClick xmlns:r="http://schemas.openxmlformats.org/officeDocument/2006/relationships" r:id="rId15" tooltip="Oil and Refined Products"/>
            <a:extLst>
              <a:ext uri="{FF2B5EF4-FFF2-40B4-BE49-F238E27FC236}">
                <a16:creationId xmlns:a16="http://schemas.microsoft.com/office/drawing/2014/main" id="{EAFBD00B-5529-FAF0-6481-579E992456F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79" name="Rectangle: Rounded Corners 78">
            <a:extLst>
              <a:ext uri="{FF2B5EF4-FFF2-40B4-BE49-F238E27FC236}">
                <a16:creationId xmlns:a16="http://schemas.microsoft.com/office/drawing/2014/main" id="{F8BE79DB-042C-0E81-5AF7-9818ADB89AAC}"/>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80" name="Rectangle: Rounded Corners 79">
            <a:extLst>
              <a:ext uri="{FF2B5EF4-FFF2-40B4-BE49-F238E27FC236}">
                <a16:creationId xmlns:a16="http://schemas.microsoft.com/office/drawing/2014/main" id="{69235524-E67E-F549-3B0C-E44ECF8AF8ED}"/>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81" name="Picture 80">
            <a:hlinkClick xmlns:r="http://schemas.openxmlformats.org/officeDocument/2006/relationships" r:id="rId17" tooltip="Home"/>
            <a:extLst>
              <a:ext uri="{FF2B5EF4-FFF2-40B4-BE49-F238E27FC236}">
                <a16:creationId xmlns:a16="http://schemas.microsoft.com/office/drawing/2014/main" id="{E723A506-0AAA-FD76-8B12-E266B707E37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82" name="Group 81">
            <a:extLst>
              <a:ext uri="{FF2B5EF4-FFF2-40B4-BE49-F238E27FC236}">
                <a16:creationId xmlns:a16="http://schemas.microsoft.com/office/drawing/2014/main" id="{A0F2BF0D-4D32-A7D9-B042-DC53AF9EDAF7}"/>
              </a:ext>
            </a:extLst>
          </xdr:cNvPr>
          <xdr:cNvGrpSpPr/>
        </xdr:nvGrpSpPr>
        <xdr:grpSpPr>
          <a:xfrm>
            <a:off x="8739731" y="304801"/>
            <a:ext cx="779626" cy="652742"/>
            <a:chOff x="8739731" y="304801"/>
            <a:chExt cx="779626" cy="652742"/>
          </a:xfrm>
        </xdr:grpSpPr>
        <xdr:pic>
          <xdr:nvPicPr>
            <xdr:cNvPr id="99" name="Picture 98">
              <a:hlinkClick xmlns:r="http://schemas.openxmlformats.org/officeDocument/2006/relationships" r:id="rId19" tooltip="Gas &amp; LNG"/>
              <a:extLst>
                <a:ext uri="{FF2B5EF4-FFF2-40B4-BE49-F238E27FC236}">
                  <a16:creationId xmlns:a16="http://schemas.microsoft.com/office/drawing/2014/main" id="{B49E3F6F-38CB-63FC-AA85-984F4D99A507}"/>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100" name="TextBox 99">
              <a:extLst>
                <a:ext uri="{FF2B5EF4-FFF2-40B4-BE49-F238E27FC236}">
                  <a16:creationId xmlns:a16="http://schemas.microsoft.com/office/drawing/2014/main" id="{87A574A7-24C2-8F18-C1A4-88402F945D78}"/>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83" name="Group 82">
            <a:hlinkClick xmlns:r="http://schemas.openxmlformats.org/officeDocument/2006/relationships" r:id="rId21"/>
            <a:extLst>
              <a:ext uri="{FF2B5EF4-FFF2-40B4-BE49-F238E27FC236}">
                <a16:creationId xmlns:a16="http://schemas.microsoft.com/office/drawing/2014/main" id="{73F44B0B-4094-3ACE-B2B7-5FC995273842}"/>
              </a:ext>
            </a:extLst>
          </xdr:cNvPr>
          <xdr:cNvGrpSpPr/>
        </xdr:nvGrpSpPr>
        <xdr:grpSpPr>
          <a:xfrm>
            <a:off x="7963288" y="399140"/>
            <a:ext cx="936684" cy="558403"/>
            <a:chOff x="7252446" y="427715"/>
            <a:chExt cx="932330" cy="558403"/>
          </a:xfrm>
        </xdr:grpSpPr>
        <xdr:pic>
          <xdr:nvPicPr>
            <xdr:cNvPr id="97" name="Picture 96">
              <a:extLst>
                <a:ext uri="{FF2B5EF4-FFF2-40B4-BE49-F238E27FC236}">
                  <a16:creationId xmlns:a16="http://schemas.microsoft.com/office/drawing/2014/main" id="{7A7E95B6-FA18-1B07-6B6A-7AA0ACE67EBD}"/>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98" name="TextBox 97">
              <a:extLst>
                <a:ext uri="{FF2B5EF4-FFF2-40B4-BE49-F238E27FC236}">
                  <a16:creationId xmlns:a16="http://schemas.microsoft.com/office/drawing/2014/main" id="{0F6FADC4-4AA4-A08B-ACE8-5242DFF7B12F}"/>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84" name="Group 83">
            <a:hlinkClick xmlns:r="http://schemas.openxmlformats.org/officeDocument/2006/relationships" r:id="rId23"/>
            <a:extLst>
              <a:ext uri="{FF2B5EF4-FFF2-40B4-BE49-F238E27FC236}">
                <a16:creationId xmlns:a16="http://schemas.microsoft.com/office/drawing/2014/main" id="{7CE5D1BA-A17F-B149-5280-AB438C41EEA0}"/>
              </a:ext>
            </a:extLst>
          </xdr:cNvPr>
          <xdr:cNvGrpSpPr/>
        </xdr:nvGrpSpPr>
        <xdr:grpSpPr>
          <a:xfrm>
            <a:off x="10117854" y="449143"/>
            <a:ext cx="952892" cy="517367"/>
            <a:chOff x="9402658" y="477718"/>
            <a:chExt cx="952892" cy="517367"/>
          </a:xfrm>
        </xdr:grpSpPr>
        <xdr:pic>
          <xdr:nvPicPr>
            <xdr:cNvPr id="95" name="Picture 94">
              <a:extLst>
                <a:ext uri="{FF2B5EF4-FFF2-40B4-BE49-F238E27FC236}">
                  <a16:creationId xmlns:a16="http://schemas.microsoft.com/office/drawing/2014/main" id="{2C1D5D8A-3678-7535-E1D8-2158A9C0BD46}"/>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96" name="TextBox 95">
              <a:extLst>
                <a:ext uri="{FF2B5EF4-FFF2-40B4-BE49-F238E27FC236}">
                  <a16:creationId xmlns:a16="http://schemas.microsoft.com/office/drawing/2014/main" id="{8959E2CD-7714-AEB8-C38A-C5DA6BE98535}"/>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85" name="Group 84">
            <a:hlinkClick xmlns:r="http://schemas.openxmlformats.org/officeDocument/2006/relationships" r:id="rId25"/>
            <a:extLst>
              <a:ext uri="{FF2B5EF4-FFF2-40B4-BE49-F238E27FC236}">
                <a16:creationId xmlns:a16="http://schemas.microsoft.com/office/drawing/2014/main" id="{856EC6A3-A0A2-213C-683C-4FC6355DD188}"/>
              </a:ext>
            </a:extLst>
          </xdr:cNvPr>
          <xdr:cNvGrpSpPr/>
        </xdr:nvGrpSpPr>
        <xdr:grpSpPr>
          <a:xfrm>
            <a:off x="9340366" y="249331"/>
            <a:ext cx="841559" cy="690282"/>
            <a:chOff x="8625170" y="277906"/>
            <a:chExt cx="841559" cy="690282"/>
          </a:xfrm>
        </xdr:grpSpPr>
        <xdr:pic>
          <xdr:nvPicPr>
            <xdr:cNvPr id="93" name="Picture 92">
              <a:extLst>
                <a:ext uri="{FF2B5EF4-FFF2-40B4-BE49-F238E27FC236}">
                  <a16:creationId xmlns:a16="http://schemas.microsoft.com/office/drawing/2014/main" id="{8A87FC0C-D7D4-BED2-33FA-0F98941C5562}"/>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94" name="TextBox 93">
              <a:extLst>
                <a:ext uri="{FF2B5EF4-FFF2-40B4-BE49-F238E27FC236}">
                  <a16:creationId xmlns:a16="http://schemas.microsoft.com/office/drawing/2014/main" id="{F71B148C-AF94-756B-DD70-F31EBC7750C8}"/>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86" name="Group 85">
            <a:hlinkClick xmlns:r="http://schemas.openxmlformats.org/officeDocument/2006/relationships" r:id="rId27"/>
            <a:extLst>
              <a:ext uri="{FF2B5EF4-FFF2-40B4-BE49-F238E27FC236}">
                <a16:creationId xmlns:a16="http://schemas.microsoft.com/office/drawing/2014/main" id="{6983D969-4AF7-1483-049E-6C8B08ABAB09}"/>
              </a:ext>
            </a:extLst>
          </xdr:cNvPr>
          <xdr:cNvGrpSpPr/>
        </xdr:nvGrpSpPr>
        <xdr:grpSpPr>
          <a:xfrm>
            <a:off x="10773597" y="215530"/>
            <a:ext cx="1425389" cy="957239"/>
            <a:chOff x="10094261" y="244105"/>
            <a:chExt cx="1425389" cy="957239"/>
          </a:xfrm>
        </xdr:grpSpPr>
        <xdr:pic>
          <xdr:nvPicPr>
            <xdr:cNvPr id="91" name="Picture 90">
              <a:extLst>
                <a:ext uri="{FF2B5EF4-FFF2-40B4-BE49-F238E27FC236}">
                  <a16:creationId xmlns:a16="http://schemas.microsoft.com/office/drawing/2014/main" id="{433DA4C5-2DFB-2FED-7E63-85D78CE76672}"/>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92" name="TextBox 91">
              <a:extLst>
                <a:ext uri="{FF2B5EF4-FFF2-40B4-BE49-F238E27FC236}">
                  <a16:creationId xmlns:a16="http://schemas.microsoft.com/office/drawing/2014/main" id="{04EE7E4E-CB08-4026-54AB-10CCC035F0EE}"/>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87" name="Rectangle: Rounded Corners 86">
            <a:extLst>
              <a:ext uri="{FF2B5EF4-FFF2-40B4-BE49-F238E27FC236}">
                <a16:creationId xmlns:a16="http://schemas.microsoft.com/office/drawing/2014/main" id="{CA749E8E-460C-4E65-DDE3-78F52B5AAC41}"/>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88" name="Group 87">
            <a:hlinkClick xmlns:r="http://schemas.openxmlformats.org/officeDocument/2006/relationships" r:id="rId29"/>
            <a:extLst>
              <a:ext uri="{FF2B5EF4-FFF2-40B4-BE49-F238E27FC236}">
                <a16:creationId xmlns:a16="http://schemas.microsoft.com/office/drawing/2014/main" id="{95D00793-2689-92EE-28FB-9EDEB1E8B2AE}"/>
              </a:ext>
            </a:extLst>
          </xdr:cNvPr>
          <xdr:cNvGrpSpPr/>
        </xdr:nvGrpSpPr>
        <xdr:grpSpPr>
          <a:xfrm>
            <a:off x="1717819" y="429577"/>
            <a:ext cx="521114" cy="502920"/>
            <a:chOff x="1714500" y="434340"/>
            <a:chExt cx="521114" cy="502920"/>
          </a:xfrm>
        </xdr:grpSpPr>
        <xdr:pic>
          <xdr:nvPicPr>
            <xdr:cNvPr id="89" name="Picture 88">
              <a:extLst>
                <a:ext uri="{FF2B5EF4-FFF2-40B4-BE49-F238E27FC236}">
                  <a16:creationId xmlns:a16="http://schemas.microsoft.com/office/drawing/2014/main" id="{18E5A4A3-C716-61F4-13D5-701E964FAF5D}"/>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90" name="TextBox 89">
              <a:extLst>
                <a:ext uri="{FF2B5EF4-FFF2-40B4-BE49-F238E27FC236}">
                  <a16:creationId xmlns:a16="http://schemas.microsoft.com/office/drawing/2014/main" id="{51FF85D2-06B1-5E46-8553-9C30B21FDB76}"/>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456566</xdr:colOff>
      <xdr:row>0</xdr:row>
      <xdr:rowOff>1190625</xdr:rowOff>
    </xdr:to>
    <xdr:grpSp>
      <xdr:nvGrpSpPr>
        <xdr:cNvPr id="169" name="Group 168">
          <a:extLst>
            <a:ext uri="{FF2B5EF4-FFF2-40B4-BE49-F238E27FC236}">
              <a16:creationId xmlns:a16="http://schemas.microsoft.com/office/drawing/2014/main" id="{729AE637-4241-4563-A199-377012419C96}"/>
            </a:ext>
          </a:extLst>
        </xdr:cNvPr>
        <xdr:cNvGrpSpPr/>
      </xdr:nvGrpSpPr>
      <xdr:grpSpPr>
        <a:xfrm>
          <a:off x="0" y="0"/>
          <a:ext cx="11867516" cy="1190625"/>
          <a:chOff x="0" y="0"/>
          <a:chExt cx="12198986" cy="1190625"/>
        </a:xfrm>
      </xdr:grpSpPr>
      <xdr:sp macro="" textlink="">
        <xdr:nvSpPr>
          <xdr:cNvPr id="170" name="TextBox 169">
            <a:extLst>
              <a:ext uri="{FF2B5EF4-FFF2-40B4-BE49-F238E27FC236}">
                <a16:creationId xmlns:a16="http://schemas.microsoft.com/office/drawing/2014/main" id="{E5018444-67BC-C0FB-9993-513B791E7DED}"/>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171" name="TextBox 170">
            <a:extLst>
              <a:ext uri="{FF2B5EF4-FFF2-40B4-BE49-F238E27FC236}">
                <a16:creationId xmlns:a16="http://schemas.microsoft.com/office/drawing/2014/main" id="{C42D0A6B-1D7B-7774-8BAC-E9BD695FA1E7}"/>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172" name="TextBox 171">
            <a:extLst>
              <a:ext uri="{FF2B5EF4-FFF2-40B4-BE49-F238E27FC236}">
                <a16:creationId xmlns:a16="http://schemas.microsoft.com/office/drawing/2014/main" id="{7F714542-9129-A1CD-695B-096A663591E8}"/>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173" name="Picture 172">
            <a:hlinkClick xmlns:r="http://schemas.openxmlformats.org/officeDocument/2006/relationships" r:id="rId1" tooltip="Education"/>
            <a:extLst>
              <a:ext uri="{FF2B5EF4-FFF2-40B4-BE49-F238E27FC236}">
                <a16:creationId xmlns:a16="http://schemas.microsoft.com/office/drawing/2014/main" id="{A6D9B722-C277-88AB-8089-7C4A4938DC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174" name="Picture 173">
            <a:hlinkClick xmlns:r="http://schemas.openxmlformats.org/officeDocument/2006/relationships" r:id="rId3" tooltip="Terms &amp; Conditions"/>
            <a:extLst>
              <a:ext uri="{FF2B5EF4-FFF2-40B4-BE49-F238E27FC236}">
                <a16:creationId xmlns:a16="http://schemas.microsoft.com/office/drawing/2014/main" id="{34B4AF8E-B4A3-9A0B-0A55-B75E323526D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175" name="Picture 174">
            <a:hlinkClick xmlns:r="http://schemas.openxmlformats.org/officeDocument/2006/relationships" r:id="rId5" tooltip="User Guide"/>
            <a:extLst>
              <a:ext uri="{FF2B5EF4-FFF2-40B4-BE49-F238E27FC236}">
                <a16:creationId xmlns:a16="http://schemas.microsoft.com/office/drawing/2014/main" id="{86E06480-F628-7F40-27AC-A2C13C6AC99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176" name="Picture 175">
            <a:hlinkClick xmlns:r="http://schemas.openxmlformats.org/officeDocument/2006/relationships" r:id="rId7" tooltip="Dashboard"/>
            <a:extLst>
              <a:ext uri="{FF2B5EF4-FFF2-40B4-BE49-F238E27FC236}">
                <a16:creationId xmlns:a16="http://schemas.microsoft.com/office/drawing/2014/main" id="{01DEDABC-508B-8B7E-D2D3-9EDF45A4825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177" name="Picture 176">
            <a:hlinkClick xmlns:r="http://schemas.openxmlformats.org/officeDocument/2006/relationships" r:id="rId9" tooltip="Factors"/>
            <a:extLst>
              <a:ext uri="{FF2B5EF4-FFF2-40B4-BE49-F238E27FC236}">
                <a16:creationId xmlns:a16="http://schemas.microsoft.com/office/drawing/2014/main" id="{EFB07B61-FDB0-47B0-5D9E-BEFAC8346C3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178" name="Picture 177">
            <a:hlinkClick xmlns:r="http://schemas.openxmlformats.org/officeDocument/2006/relationships" r:id="rId11" tooltip="Alternative Calculations"/>
            <a:extLst>
              <a:ext uri="{FF2B5EF4-FFF2-40B4-BE49-F238E27FC236}">
                <a16:creationId xmlns:a16="http://schemas.microsoft.com/office/drawing/2014/main" id="{1FD7B974-1764-1146-8D3A-5525F724942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179" name="Picture 178">
            <a:hlinkClick xmlns:r="http://schemas.openxmlformats.org/officeDocument/2006/relationships" r:id="rId13" tooltip="Abbreviations"/>
            <a:extLst>
              <a:ext uri="{FF2B5EF4-FFF2-40B4-BE49-F238E27FC236}">
                <a16:creationId xmlns:a16="http://schemas.microsoft.com/office/drawing/2014/main" id="{E940619F-ACBA-0695-656B-1BD8EAA7F82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180" name="Picture 179">
            <a:hlinkClick xmlns:r="http://schemas.openxmlformats.org/officeDocument/2006/relationships" r:id="rId15" tooltip="Oil and Refined Products"/>
            <a:extLst>
              <a:ext uri="{FF2B5EF4-FFF2-40B4-BE49-F238E27FC236}">
                <a16:creationId xmlns:a16="http://schemas.microsoft.com/office/drawing/2014/main" id="{461AD00D-563E-0044-2D77-4CFD2B9052D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181" name="Rectangle: Rounded Corners 180">
            <a:extLst>
              <a:ext uri="{FF2B5EF4-FFF2-40B4-BE49-F238E27FC236}">
                <a16:creationId xmlns:a16="http://schemas.microsoft.com/office/drawing/2014/main" id="{55639FEA-E8C9-B28E-FBC9-B0CE16C802BA}"/>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182" name="Rectangle: Rounded Corners 181">
            <a:extLst>
              <a:ext uri="{FF2B5EF4-FFF2-40B4-BE49-F238E27FC236}">
                <a16:creationId xmlns:a16="http://schemas.microsoft.com/office/drawing/2014/main" id="{FB6849FE-807D-5001-57F6-2EC7715808B1}"/>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183" name="Picture 182">
            <a:hlinkClick xmlns:r="http://schemas.openxmlformats.org/officeDocument/2006/relationships" r:id="rId17" tooltip="Home"/>
            <a:extLst>
              <a:ext uri="{FF2B5EF4-FFF2-40B4-BE49-F238E27FC236}">
                <a16:creationId xmlns:a16="http://schemas.microsoft.com/office/drawing/2014/main" id="{21D1FD75-2CCE-7A84-3FC5-24587B46737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184" name="Group 183">
            <a:extLst>
              <a:ext uri="{FF2B5EF4-FFF2-40B4-BE49-F238E27FC236}">
                <a16:creationId xmlns:a16="http://schemas.microsoft.com/office/drawing/2014/main" id="{E106E648-5241-2F3C-7AEE-9A675B59C226}"/>
              </a:ext>
            </a:extLst>
          </xdr:cNvPr>
          <xdr:cNvGrpSpPr/>
        </xdr:nvGrpSpPr>
        <xdr:grpSpPr>
          <a:xfrm>
            <a:off x="8739731" y="304801"/>
            <a:ext cx="779626" cy="652742"/>
            <a:chOff x="8739731" y="304801"/>
            <a:chExt cx="779626" cy="652742"/>
          </a:xfrm>
        </xdr:grpSpPr>
        <xdr:pic>
          <xdr:nvPicPr>
            <xdr:cNvPr id="201" name="Picture 200">
              <a:hlinkClick xmlns:r="http://schemas.openxmlformats.org/officeDocument/2006/relationships" r:id="rId19" tooltip="Gas &amp; LNG"/>
              <a:extLst>
                <a:ext uri="{FF2B5EF4-FFF2-40B4-BE49-F238E27FC236}">
                  <a16:creationId xmlns:a16="http://schemas.microsoft.com/office/drawing/2014/main" id="{DBBF5B42-C9B0-7566-CAD6-89995E9BF2FD}"/>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202" name="TextBox 201">
              <a:extLst>
                <a:ext uri="{FF2B5EF4-FFF2-40B4-BE49-F238E27FC236}">
                  <a16:creationId xmlns:a16="http://schemas.microsoft.com/office/drawing/2014/main" id="{EADB45B6-648E-3F3C-C5F9-51C0977D2D54}"/>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185" name="Group 184">
            <a:hlinkClick xmlns:r="http://schemas.openxmlformats.org/officeDocument/2006/relationships" r:id="rId21"/>
            <a:extLst>
              <a:ext uri="{FF2B5EF4-FFF2-40B4-BE49-F238E27FC236}">
                <a16:creationId xmlns:a16="http://schemas.microsoft.com/office/drawing/2014/main" id="{99C3A387-C299-4537-B827-D400EF76A4BD}"/>
              </a:ext>
            </a:extLst>
          </xdr:cNvPr>
          <xdr:cNvGrpSpPr/>
        </xdr:nvGrpSpPr>
        <xdr:grpSpPr>
          <a:xfrm>
            <a:off x="7963288" y="399140"/>
            <a:ext cx="936684" cy="558403"/>
            <a:chOff x="7252446" y="427715"/>
            <a:chExt cx="932330" cy="558403"/>
          </a:xfrm>
        </xdr:grpSpPr>
        <xdr:pic>
          <xdr:nvPicPr>
            <xdr:cNvPr id="199" name="Picture 198">
              <a:extLst>
                <a:ext uri="{FF2B5EF4-FFF2-40B4-BE49-F238E27FC236}">
                  <a16:creationId xmlns:a16="http://schemas.microsoft.com/office/drawing/2014/main" id="{8D42636C-0E39-23B0-9F2C-CA5CEF3E5BE9}"/>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200" name="TextBox 199">
              <a:extLst>
                <a:ext uri="{FF2B5EF4-FFF2-40B4-BE49-F238E27FC236}">
                  <a16:creationId xmlns:a16="http://schemas.microsoft.com/office/drawing/2014/main" id="{C76A2DF6-8409-2EDD-C7CB-CFBFA7BDE1E4}"/>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186" name="Group 185">
            <a:hlinkClick xmlns:r="http://schemas.openxmlformats.org/officeDocument/2006/relationships" r:id="rId23"/>
            <a:extLst>
              <a:ext uri="{FF2B5EF4-FFF2-40B4-BE49-F238E27FC236}">
                <a16:creationId xmlns:a16="http://schemas.microsoft.com/office/drawing/2014/main" id="{5206E40C-15F7-F14C-74B7-FF76137B3775}"/>
              </a:ext>
            </a:extLst>
          </xdr:cNvPr>
          <xdr:cNvGrpSpPr/>
        </xdr:nvGrpSpPr>
        <xdr:grpSpPr>
          <a:xfrm>
            <a:off x="10117854" y="449143"/>
            <a:ext cx="952892" cy="517367"/>
            <a:chOff x="9402658" y="477718"/>
            <a:chExt cx="952892" cy="517367"/>
          </a:xfrm>
        </xdr:grpSpPr>
        <xdr:pic>
          <xdr:nvPicPr>
            <xdr:cNvPr id="197" name="Picture 196">
              <a:extLst>
                <a:ext uri="{FF2B5EF4-FFF2-40B4-BE49-F238E27FC236}">
                  <a16:creationId xmlns:a16="http://schemas.microsoft.com/office/drawing/2014/main" id="{7ACAB613-C93A-EFCD-9192-7AEC509D482E}"/>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198" name="TextBox 197">
              <a:extLst>
                <a:ext uri="{FF2B5EF4-FFF2-40B4-BE49-F238E27FC236}">
                  <a16:creationId xmlns:a16="http://schemas.microsoft.com/office/drawing/2014/main" id="{0AAD1369-8813-C8F9-F0AF-D1F7FF681821}"/>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187" name="Group 186">
            <a:hlinkClick xmlns:r="http://schemas.openxmlformats.org/officeDocument/2006/relationships" r:id="rId25"/>
            <a:extLst>
              <a:ext uri="{FF2B5EF4-FFF2-40B4-BE49-F238E27FC236}">
                <a16:creationId xmlns:a16="http://schemas.microsoft.com/office/drawing/2014/main" id="{4A5E4A4A-1B6F-1D02-9F1E-A8B8DC5C271C}"/>
              </a:ext>
            </a:extLst>
          </xdr:cNvPr>
          <xdr:cNvGrpSpPr/>
        </xdr:nvGrpSpPr>
        <xdr:grpSpPr>
          <a:xfrm>
            <a:off x="9340366" y="249331"/>
            <a:ext cx="841559" cy="690282"/>
            <a:chOff x="8625170" y="277906"/>
            <a:chExt cx="841559" cy="690282"/>
          </a:xfrm>
        </xdr:grpSpPr>
        <xdr:pic>
          <xdr:nvPicPr>
            <xdr:cNvPr id="195" name="Picture 194">
              <a:extLst>
                <a:ext uri="{FF2B5EF4-FFF2-40B4-BE49-F238E27FC236}">
                  <a16:creationId xmlns:a16="http://schemas.microsoft.com/office/drawing/2014/main" id="{638126C5-7D36-5046-72A8-264D35010245}"/>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196" name="TextBox 195">
              <a:extLst>
                <a:ext uri="{FF2B5EF4-FFF2-40B4-BE49-F238E27FC236}">
                  <a16:creationId xmlns:a16="http://schemas.microsoft.com/office/drawing/2014/main" id="{4A57A172-510B-345B-B838-8CEC01563F8D}"/>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188" name="Group 187">
            <a:hlinkClick xmlns:r="http://schemas.openxmlformats.org/officeDocument/2006/relationships" r:id="rId27"/>
            <a:extLst>
              <a:ext uri="{FF2B5EF4-FFF2-40B4-BE49-F238E27FC236}">
                <a16:creationId xmlns:a16="http://schemas.microsoft.com/office/drawing/2014/main" id="{2EA74D80-456C-F7F2-2092-1B89AC27F62F}"/>
              </a:ext>
            </a:extLst>
          </xdr:cNvPr>
          <xdr:cNvGrpSpPr/>
        </xdr:nvGrpSpPr>
        <xdr:grpSpPr>
          <a:xfrm>
            <a:off x="10773597" y="215530"/>
            <a:ext cx="1425389" cy="957239"/>
            <a:chOff x="10094261" y="244105"/>
            <a:chExt cx="1425389" cy="957239"/>
          </a:xfrm>
        </xdr:grpSpPr>
        <xdr:pic>
          <xdr:nvPicPr>
            <xdr:cNvPr id="193" name="Picture 192">
              <a:extLst>
                <a:ext uri="{FF2B5EF4-FFF2-40B4-BE49-F238E27FC236}">
                  <a16:creationId xmlns:a16="http://schemas.microsoft.com/office/drawing/2014/main" id="{3EC32965-7B0E-09C0-EF2F-B771BDFF213F}"/>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194" name="TextBox 193">
              <a:extLst>
                <a:ext uri="{FF2B5EF4-FFF2-40B4-BE49-F238E27FC236}">
                  <a16:creationId xmlns:a16="http://schemas.microsoft.com/office/drawing/2014/main" id="{CEC0886D-4FD3-ACA4-DFB0-A5201DEA567E}"/>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189" name="Rectangle: Rounded Corners 188">
            <a:extLst>
              <a:ext uri="{FF2B5EF4-FFF2-40B4-BE49-F238E27FC236}">
                <a16:creationId xmlns:a16="http://schemas.microsoft.com/office/drawing/2014/main" id="{6FEEF1A7-6F55-81A0-BEB5-819C3D7B0B94}"/>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190" name="Group 189">
            <a:hlinkClick xmlns:r="http://schemas.openxmlformats.org/officeDocument/2006/relationships" r:id="rId29"/>
            <a:extLst>
              <a:ext uri="{FF2B5EF4-FFF2-40B4-BE49-F238E27FC236}">
                <a16:creationId xmlns:a16="http://schemas.microsoft.com/office/drawing/2014/main" id="{E939417B-2B4E-568B-2882-C997804E99BB}"/>
              </a:ext>
            </a:extLst>
          </xdr:cNvPr>
          <xdr:cNvGrpSpPr/>
        </xdr:nvGrpSpPr>
        <xdr:grpSpPr>
          <a:xfrm>
            <a:off x="1717819" y="429577"/>
            <a:ext cx="521114" cy="502920"/>
            <a:chOff x="1714500" y="434340"/>
            <a:chExt cx="521114" cy="502920"/>
          </a:xfrm>
        </xdr:grpSpPr>
        <xdr:pic>
          <xdr:nvPicPr>
            <xdr:cNvPr id="191" name="Picture 190">
              <a:extLst>
                <a:ext uri="{FF2B5EF4-FFF2-40B4-BE49-F238E27FC236}">
                  <a16:creationId xmlns:a16="http://schemas.microsoft.com/office/drawing/2014/main" id="{47C5C003-43D3-F08D-16B2-63C9D5F5DAEB}"/>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192" name="TextBox 191">
              <a:extLst>
                <a:ext uri="{FF2B5EF4-FFF2-40B4-BE49-F238E27FC236}">
                  <a16:creationId xmlns:a16="http://schemas.microsoft.com/office/drawing/2014/main" id="{E86BCB16-9C29-4C9B-E3FE-1F51686C380B}"/>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315052</xdr:colOff>
      <xdr:row>0</xdr:row>
      <xdr:rowOff>1190625</xdr:rowOff>
    </xdr:to>
    <xdr:grpSp>
      <xdr:nvGrpSpPr>
        <xdr:cNvPr id="101" name="Group 100">
          <a:extLst>
            <a:ext uri="{FF2B5EF4-FFF2-40B4-BE49-F238E27FC236}">
              <a16:creationId xmlns:a16="http://schemas.microsoft.com/office/drawing/2014/main" id="{FE6BCFFD-5FEE-43FE-BE11-15E4058E483D}"/>
            </a:ext>
          </a:extLst>
        </xdr:cNvPr>
        <xdr:cNvGrpSpPr/>
      </xdr:nvGrpSpPr>
      <xdr:grpSpPr>
        <a:xfrm>
          <a:off x="0" y="0"/>
          <a:ext cx="11887927" cy="1190625"/>
          <a:chOff x="0" y="0"/>
          <a:chExt cx="12198986" cy="1190625"/>
        </a:xfrm>
      </xdr:grpSpPr>
      <xdr:sp macro="" textlink="">
        <xdr:nvSpPr>
          <xdr:cNvPr id="102" name="TextBox 101">
            <a:extLst>
              <a:ext uri="{FF2B5EF4-FFF2-40B4-BE49-F238E27FC236}">
                <a16:creationId xmlns:a16="http://schemas.microsoft.com/office/drawing/2014/main" id="{B591C99D-0B5D-F8D8-49BC-32131138B4FA}"/>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103" name="TextBox 102">
            <a:extLst>
              <a:ext uri="{FF2B5EF4-FFF2-40B4-BE49-F238E27FC236}">
                <a16:creationId xmlns:a16="http://schemas.microsoft.com/office/drawing/2014/main" id="{D6AB6E48-B96B-28E6-62AB-CCE37843AED8}"/>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104" name="TextBox 103">
            <a:extLst>
              <a:ext uri="{FF2B5EF4-FFF2-40B4-BE49-F238E27FC236}">
                <a16:creationId xmlns:a16="http://schemas.microsoft.com/office/drawing/2014/main" id="{FA4A97D9-C9EA-02FC-1D03-69CF16D2D61B}"/>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105" name="Picture 104">
            <a:hlinkClick xmlns:r="http://schemas.openxmlformats.org/officeDocument/2006/relationships" r:id="rId1" tooltip="Education"/>
            <a:extLst>
              <a:ext uri="{FF2B5EF4-FFF2-40B4-BE49-F238E27FC236}">
                <a16:creationId xmlns:a16="http://schemas.microsoft.com/office/drawing/2014/main" id="{A978F4FF-F788-EB7A-63D1-5B23236AB6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106" name="Picture 105">
            <a:hlinkClick xmlns:r="http://schemas.openxmlformats.org/officeDocument/2006/relationships" r:id="rId3" tooltip="Terms &amp; Conditions"/>
            <a:extLst>
              <a:ext uri="{FF2B5EF4-FFF2-40B4-BE49-F238E27FC236}">
                <a16:creationId xmlns:a16="http://schemas.microsoft.com/office/drawing/2014/main" id="{F73A3C21-9F38-8573-5732-8610D84FEE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107" name="Picture 106">
            <a:hlinkClick xmlns:r="http://schemas.openxmlformats.org/officeDocument/2006/relationships" r:id="rId5" tooltip="User Guide"/>
            <a:extLst>
              <a:ext uri="{FF2B5EF4-FFF2-40B4-BE49-F238E27FC236}">
                <a16:creationId xmlns:a16="http://schemas.microsoft.com/office/drawing/2014/main" id="{3F2E5329-DCA5-C967-A4E1-88C2A7D163B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108" name="Picture 107">
            <a:hlinkClick xmlns:r="http://schemas.openxmlformats.org/officeDocument/2006/relationships" r:id="rId7" tooltip="Dashboard"/>
            <a:extLst>
              <a:ext uri="{FF2B5EF4-FFF2-40B4-BE49-F238E27FC236}">
                <a16:creationId xmlns:a16="http://schemas.microsoft.com/office/drawing/2014/main" id="{DF426D31-02FE-196F-489E-ACF84689086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109" name="Picture 108">
            <a:hlinkClick xmlns:r="http://schemas.openxmlformats.org/officeDocument/2006/relationships" r:id="rId9" tooltip="Factors"/>
            <a:extLst>
              <a:ext uri="{FF2B5EF4-FFF2-40B4-BE49-F238E27FC236}">
                <a16:creationId xmlns:a16="http://schemas.microsoft.com/office/drawing/2014/main" id="{4D044F33-D40D-7372-D405-DC5F27B4F96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110" name="Picture 109">
            <a:hlinkClick xmlns:r="http://schemas.openxmlformats.org/officeDocument/2006/relationships" r:id="rId11" tooltip="Alternative Calculations"/>
            <a:extLst>
              <a:ext uri="{FF2B5EF4-FFF2-40B4-BE49-F238E27FC236}">
                <a16:creationId xmlns:a16="http://schemas.microsoft.com/office/drawing/2014/main" id="{8FE24960-93E4-69E2-1BEB-EB784E190F7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111" name="Picture 110">
            <a:hlinkClick xmlns:r="http://schemas.openxmlformats.org/officeDocument/2006/relationships" r:id="rId13" tooltip="Abbreviations"/>
            <a:extLst>
              <a:ext uri="{FF2B5EF4-FFF2-40B4-BE49-F238E27FC236}">
                <a16:creationId xmlns:a16="http://schemas.microsoft.com/office/drawing/2014/main" id="{2E6058D3-B4A0-F878-3A5F-2EBFF07F443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112" name="Picture 111">
            <a:hlinkClick xmlns:r="http://schemas.openxmlformats.org/officeDocument/2006/relationships" r:id="rId15" tooltip="Oil and Refined Products"/>
            <a:extLst>
              <a:ext uri="{FF2B5EF4-FFF2-40B4-BE49-F238E27FC236}">
                <a16:creationId xmlns:a16="http://schemas.microsoft.com/office/drawing/2014/main" id="{8E34F766-DEFA-8F96-848B-EB834FF0F3F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113" name="Rectangle: Rounded Corners 112">
            <a:extLst>
              <a:ext uri="{FF2B5EF4-FFF2-40B4-BE49-F238E27FC236}">
                <a16:creationId xmlns:a16="http://schemas.microsoft.com/office/drawing/2014/main" id="{A6137BE5-03DC-6E61-3319-899FA750DE84}"/>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114" name="Rectangle: Rounded Corners 113">
            <a:extLst>
              <a:ext uri="{FF2B5EF4-FFF2-40B4-BE49-F238E27FC236}">
                <a16:creationId xmlns:a16="http://schemas.microsoft.com/office/drawing/2014/main" id="{EB8CFDAA-B18C-3132-EB8E-856EA3A2B919}"/>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115" name="Picture 114">
            <a:hlinkClick xmlns:r="http://schemas.openxmlformats.org/officeDocument/2006/relationships" r:id="rId17" tooltip="Home"/>
            <a:extLst>
              <a:ext uri="{FF2B5EF4-FFF2-40B4-BE49-F238E27FC236}">
                <a16:creationId xmlns:a16="http://schemas.microsoft.com/office/drawing/2014/main" id="{B5D8CD16-F8AA-7E4E-E6E3-3BC4298C143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116" name="Group 115">
            <a:extLst>
              <a:ext uri="{FF2B5EF4-FFF2-40B4-BE49-F238E27FC236}">
                <a16:creationId xmlns:a16="http://schemas.microsoft.com/office/drawing/2014/main" id="{67EA933B-A18E-0269-AEA2-4431706D2622}"/>
              </a:ext>
            </a:extLst>
          </xdr:cNvPr>
          <xdr:cNvGrpSpPr/>
        </xdr:nvGrpSpPr>
        <xdr:grpSpPr>
          <a:xfrm>
            <a:off x="8739731" y="304801"/>
            <a:ext cx="779626" cy="652742"/>
            <a:chOff x="8739731" y="304801"/>
            <a:chExt cx="779626" cy="652742"/>
          </a:xfrm>
        </xdr:grpSpPr>
        <xdr:pic>
          <xdr:nvPicPr>
            <xdr:cNvPr id="133" name="Picture 132">
              <a:hlinkClick xmlns:r="http://schemas.openxmlformats.org/officeDocument/2006/relationships" r:id="rId19" tooltip="Gas &amp; LNG"/>
              <a:extLst>
                <a:ext uri="{FF2B5EF4-FFF2-40B4-BE49-F238E27FC236}">
                  <a16:creationId xmlns:a16="http://schemas.microsoft.com/office/drawing/2014/main" id="{216FF786-1B79-C979-E5CB-CB733DCBFBEA}"/>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134" name="TextBox 133">
              <a:extLst>
                <a:ext uri="{FF2B5EF4-FFF2-40B4-BE49-F238E27FC236}">
                  <a16:creationId xmlns:a16="http://schemas.microsoft.com/office/drawing/2014/main" id="{F60C0AC6-BEF4-A35A-06CE-F3F80243C904}"/>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117" name="Group 116">
            <a:hlinkClick xmlns:r="http://schemas.openxmlformats.org/officeDocument/2006/relationships" r:id="rId21"/>
            <a:extLst>
              <a:ext uri="{FF2B5EF4-FFF2-40B4-BE49-F238E27FC236}">
                <a16:creationId xmlns:a16="http://schemas.microsoft.com/office/drawing/2014/main" id="{26D94ABE-EB66-0084-6502-FAE39A044D8F}"/>
              </a:ext>
            </a:extLst>
          </xdr:cNvPr>
          <xdr:cNvGrpSpPr/>
        </xdr:nvGrpSpPr>
        <xdr:grpSpPr>
          <a:xfrm>
            <a:off x="7963288" y="399140"/>
            <a:ext cx="936684" cy="558403"/>
            <a:chOff x="7252446" y="427715"/>
            <a:chExt cx="932330" cy="558403"/>
          </a:xfrm>
        </xdr:grpSpPr>
        <xdr:pic>
          <xdr:nvPicPr>
            <xdr:cNvPr id="131" name="Picture 130">
              <a:extLst>
                <a:ext uri="{FF2B5EF4-FFF2-40B4-BE49-F238E27FC236}">
                  <a16:creationId xmlns:a16="http://schemas.microsoft.com/office/drawing/2014/main" id="{DEE24792-3056-9E84-E477-B80EC228C97D}"/>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132" name="TextBox 131">
              <a:extLst>
                <a:ext uri="{FF2B5EF4-FFF2-40B4-BE49-F238E27FC236}">
                  <a16:creationId xmlns:a16="http://schemas.microsoft.com/office/drawing/2014/main" id="{FB35B6F7-CE7A-BB57-8406-E57DF15F0AC7}"/>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118" name="Group 117">
            <a:hlinkClick xmlns:r="http://schemas.openxmlformats.org/officeDocument/2006/relationships" r:id="rId23"/>
            <a:extLst>
              <a:ext uri="{FF2B5EF4-FFF2-40B4-BE49-F238E27FC236}">
                <a16:creationId xmlns:a16="http://schemas.microsoft.com/office/drawing/2014/main" id="{55C39750-E88F-6C0B-47EF-7FF1AC7A35D5}"/>
              </a:ext>
            </a:extLst>
          </xdr:cNvPr>
          <xdr:cNvGrpSpPr/>
        </xdr:nvGrpSpPr>
        <xdr:grpSpPr>
          <a:xfrm>
            <a:off x="10117854" y="449143"/>
            <a:ext cx="952892" cy="517367"/>
            <a:chOff x="9402658" y="477718"/>
            <a:chExt cx="952892" cy="517367"/>
          </a:xfrm>
        </xdr:grpSpPr>
        <xdr:pic>
          <xdr:nvPicPr>
            <xdr:cNvPr id="129" name="Picture 128">
              <a:extLst>
                <a:ext uri="{FF2B5EF4-FFF2-40B4-BE49-F238E27FC236}">
                  <a16:creationId xmlns:a16="http://schemas.microsoft.com/office/drawing/2014/main" id="{88D88EA8-0BDB-1353-0BFC-224D74BA29CF}"/>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130" name="TextBox 129">
              <a:extLst>
                <a:ext uri="{FF2B5EF4-FFF2-40B4-BE49-F238E27FC236}">
                  <a16:creationId xmlns:a16="http://schemas.microsoft.com/office/drawing/2014/main" id="{533FC21D-B6FD-AFA3-8B36-0D058665D41E}"/>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119" name="Group 118">
            <a:hlinkClick xmlns:r="http://schemas.openxmlformats.org/officeDocument/2006/relationships" r:id="rId25"/>
            <a:extLst>
              <a:ext uri="{FF2B5EF4-FFF2-40B4-BE49-F238E27FC236}">
                <a16:creationId xmlns:a16="http://schemas.microsoft.com/office/drawing/2014/main" id="{CA10A35F-A6DC-C671-3940-851329765075}"/>
              </a:ext>
            </a:extLst>
          </xdr:cNvPr>
          <xdr:cNvGrpSpPr/>
        </xdr:nvGrpSpPr>
        <xdr:grpSpPr>
          <a:xfrm>
            <a:off x="9340366" y="249331"/>
            <a:ext cx="841559" cy="690282"/>
            <a:chOff x="8625170" y="277906"/>
            <a:chExt cx="841559" cy="690282"/>
          </a:xfrm>
        </xdr:grpSpPr>
        <xdr:pic>
          <xdr:nvPicPr>
            <xdr:cNvPr id="127" name="Picture 126">
              <a:extLst>
                <a:ext uri="{FF2B5EF4-FFF2-40B4-BE49-F238E27FC236}">
                  <a16:creationId xmlns:a16="http://schemas.microsoft.com/office/drawing/2014/main" id="{0708AA00-DF47-1BFD-6462-0C4D401251FB}"/>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128" name="TextBox 127">
              <a:extLst>
                <a:ext uri="{FF2B5EF4-FFF2-40B4-BE49-F238E27FC236}">
                  <a16:creationId xmlns:a16="http://schemas.microsoft.com/office/drawing/2014/main" id="{7EF1411A-BE18-ECB5-5E8B-91E47807B690}"/>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120" name="Group 119">
            <a:hlinkClick xmlns:r="http://schemas.openxmlformats.org/officeDocument/2006/relationships" r:id="rId27"/>
            <a:extLst>
              <a:ext uri="{FF2B5EF4-FFF2-40B4-BE49-F238E27FC236}">
                <a16:creationId xmlns:a16="http://schemas.microsoft.com/office/drawing/2014/main" id="{584D53E0-AA0D-3257-78BC-3FF1458CE2AE}"/>
              </a:ext>
            </a:extLst>
          </xdr:cNvPr>
          <xdr:cNvGrpSpPr/>
        </xdr:nvGrpSpPr>
        <xdr:grpSpPr>
          <a:xfrm>
            <a:off x="10773597" y="215530"/>
            <a:ext cx="1425389" cy="957239"/>
            <a:chOff x="10094261" y="244105"/>
            <a:chExt cx="1425389" cy="957239"/>
          </a:xfrm>
        </xdr:grpSpPr>
        <xdr:pic>
          <xdr:nvPicPr>
            <xdr:cNvPr id="125" name="Picture 124">
              <a:extLst>
                <a:ext uri="{FF2B5EF4-FFF2-40B4-BE49-F238E27FC236}">
                  <a16:creationId xmlns:a16="http://schemas.microsoft.com/office/drawing/2014/main" id="{E8B054B7-087B-3EB2-5253-9BE830F1E69F}"/>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126" name="TextBox 125">
              <a:extLst>
                <a:ext uri="{FF2B5EF4-FFF2-40B4-BE49-F238E27FC236}">
                  <a16:creationId xmlns:a16="http://schemas.microsoft.com/office/drawing/2014/main" id="{4ED5B592-1281-1BC6-CFCA-3AF322F746D1}"/>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121" name="Rectangle: Rounded Corners 120">
            <a:extLst>
              <a:ext uri="{FF2B5EF4-FFF2-40B4-BE49-F238E27FC236}">
                <a16:creationId xmlns:a16="http://schemas.microsoft.com/office/drawing/2014/main" id="{DAFDAA4A-D21F-27FB-ED29-83A3A2CAA5C9}"/>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122" name="Group 121">
            <a:hlinkClick xmlns:r="http://schemas.openxmlformats.org/officeDocument/2006/relationships" r:id="rId29"/>
            <a:extLst>
              <a:ext uri="{FF2B5EF4-FFF2-40B4-BE49-F238E27FC236}">
                <a16:creationId xmlns:a16="http://schemas.microsoft.com/office/drawing/2014/main" id="{5DAB622D-BDD7-ADB8-D820-0E4FAB9F9BCC}"/>
              </a:ext>
            </a:extLst>
          </xdr:cNvPr>
          <xdr:cNvGrpSpPr/>
        </xdr:nvGrpSpPr>
        <xdr:grpSpPr>
          <a:xfrm>
            <a:off x="1717819" y="429577"/>
            <a:ext cx="521114" cy="502920"/>
            <a:chOff x="1714500" y="434340"/>
            <a:chExt cx="521114" cy="502920"/>
          </a:xfrm>
        </xdr:grpSpPr>
        <xdr:pic>
          <xdr:nvPicPr>
            <xdr:cNvPr id="123" name="Picture 122">
              <a:extLst>
                <a:ext uri="{FF2B5EF4-FFF2-40B4-BE49-F238E27FC236}">
                  <a16:creationId xmlns:a16="http://schemas.microsoft.com/office/drawing/2014/main" id="{1AB33577-FA42-6594-4AE1-1449794D5FFD}"/>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124" name="TextBox 123">
              <a:extLst>
                <a:ext uri="{FF2B5EF4-FFF2-40B4-BE49-F238E27FC236}">
                  <a16:creationId xmlns:a16="http://schemas.microsoft.com/office/drawing/2014/main" id="{7C3C34E5-546B-727B-A13F-9FCE17C17B86}"/>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402137</xdr:colOff>
      <xdr:row>0</xdr:row>
      <xdr:rowOff>1190625</xdr:rowOff>
    </xdr:to>
    <xdr:grpSp>
      <xdr:nvGrpSpPr>
        <xdr:cNvPr id="101" name="Group 100">
          <a:extLst>
            <a:ext uri="{FF2B5EF4-FFF2-40B4-BE49-F238E27FC236}">
              <a16:creationId xmlns:a16="http://schemas.microsoft.com/office/drawing/2014/main" id="{14B3C509-751B-451C-9486-28A482DA4CDA}"/>
            </a:ext>
          </a:extLst>
        </xdr:cNvPr>
        <xdr:cNvGrpSpPr/>
      </xdr:nvGrpSpPr>
      <xdr:grpSpPr>
        <a:xfrm>
          <a:off x="0" y="0"/>
          <a:ext cx="11860712" cy="1190625"/>
          <a:chOff x="0" y="0"/>
          <a:chExt cx="12198986" cy="1190625"/>
        </a:xfrm>
      </xdr:grpSpPr>
      <xdr:sp macro="" textlink="">
        <xdr:nvSpPr>
          <xdr:cNvPr id="102" name="TextBox 101">
            <a:extLst>
              <a:ext uri="{FF2B5EF4-FFF2-40B4-BE49-F238E27FC236}">
                <a16:creationId xmlns:a16="http://schemas.microsoft.com/office/drawing/2014/main" id="{2A94D609-CA5D-89CF-EF69-5D54AAD63A08}"/>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103" name="TextBox 102">
            <a:extLst>
              <a:ext uri="{FF2B5EF4-FFF2-40B4-BE49-F238E27FC236}">
                <a16:creationId xmlns:a16="http://schemas.microsoft.com/office/drawing/2014/main" id="{4048430F-FF8D-3B7D-4F9F-62AB3BB26A0C}"/>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104" name="TextBox 103">
            <a:extLst>
              <a:ext uri="{FF2B5EF4-FFF2-40B4-BE49-F238E27FC236}">
                <a16:creationId xmlns:a16="http://schemas.microsoft.com/office/drawing/2014/main" id="{88745D6E-7600-470E-7A79-2ACA3AC71DE8}"/>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105" name="Picture 104">
            <a:hlinkClick xmlns:r="http://schemas.openxmlformats.org/officeDocument/2006/relationships" r:id="rId1" tooltip="Education"/>
            <a:extLst>
              <a:ext uri="{FF2B5EF4-FFF2-40B4-BE49-F238E27FC236}">
                <a16:creationId xmlns:a16="http://schemas.microsoft.com/office/drawing/2014/main" id="{6A0F81B1-9F8D-8F35-AEC9-46A47E88E4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106" name="Picture 105">
            <a:hlinkClick xmlns:r="http://schemas.openxmlformats.org/officeDocument/2006/relationships" r:id="rId3" tooltip="Terms &amp; Conditions"/>
            <a:extLst>
              <a:ext uri="{FF2B5EF4-FFF2-40B4-BE49-F238E27FC236}">
                <a16:creationId xmlns:a16="http://schemas.microsoft.com/office/drawing/2014/main" id="{18515FD6-031F-8F31-AA44-B70BFB7ABA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107" name="Picture 106">
            <a:hlinkClick xmlns:r="http://schemas.openxmlformats.org/officeDocument/2006/relationships" r:id="rId5" tooltip="User Guide"/>
            <a:extLst>
              <a:ext uri="{FF2B5EF4-FFF2-40B4-BE49-F238E27FC236}">
                <a16:creationId xmlns:a16="http://schemas.microsoft.com/office/drawing/2014/main" id="{85415DF0-89A3-5701-7DF1-458E2560173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108" name="Picture 107">
            <a:hlinkClick xmlns:r="http://schemas.openxmlformats.org/officeDocument/2006/relationships" r:id="rId7" tooltip="Dashboard"/>
            <a:extLst>
              <a:ext uri="{FF2B5EF4-FFF2-40B4-BE49-F238E27FC236}">
                <a16:creationId xmlns:a16="http://schemas.microsoft.com/office/drawing/2014/main" id="{C7A9B480-C420-D3F2-4998-CBADDF6C2DF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109" name="Picture 108">
            <a:hlinkClick xmlns:r="http://schemas.openxmlformats.org/officeDocument/2006/relationships" r:id="rId9" tooltip="Factors"/>
            <a:extLst>
              <a:ext uri="{FF2B5EF4-FFF2-40B4-BE49-F238E27FC236}">
                <a16:creationId xmlns:a16="http://schemas.microsoft.com/office/drawing/2014/main" id="{B5425043-974C-ADCF-7110-FF8F0E1C2BE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110" name="Picture 109">
            <a:hlinkClick xmlns:r="http://schemas.openxmlformats.org/officeDocument/2006/relationships" r:id="rId11" tooltip="Alternative Calculations"/>
            <a:extLst>
              <a:ext uri="{FF2B5EF4-FFF2-40B4-BE49-F238E27FC236}">
                <a16:creationId xmlns:a16="http://schemas.microsoft.com/office/drawing/2014/main" id="{6185CD2E-668A-9645-77CD-1DC53B53490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111" name="Picture 110">
            <a:hlinkClick xmlns:r="http://schemas.openxmlformats.org/officeDocument/2006/relationships" r:id="rId13" tooltip="Abbreviations"/>
            <a:extLst>
              <a:ext uri="{FF2B5EF4-FFF2-40B4-BE49-F238E27FC236}">
                <a16:creationId xmlns:a16="http://schemas.microsoft.com/office/drawing/2014/main" id="{E523EA7A-734B-2F50-D71D-A97A5DE3B2C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112" name="Picture 111">
            <a:hlinkClick xmlns:r="http://schemas.openxmlformats.org/officeDocument/2006/relationships" r:id="rId15" tooltip="Oil and Refined Products"/>
            <a:extLst>
              <a:ext uri="{FF2B5EF4-FFF2-40B4-BE49-F238E27FC236}">
                <a16:creationId xmlns:a16="http://schemas.microsoft.com/office/drawing/2014/main" id="{ECE19B2F-055A-2682-0598-610D2573E9C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113" name="Rectangle: Rounded Corners 112">
            <a:extLst>
              <a:ext uri="{FF2B5EF4-FFF2-40B4-BE49-F238E27FC236}">
                <a16:creationId xmlns:a16="http://schemas.microsoft.com/office/drawing/2014/main" id="{0377B87A-7C6A-1B4A-5889-4BECA99E9542}"/>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114" name="Rectangle: Rounded Corners 113">
            <a:extLst>
              <a:ext uri="{FF2B5EF4-FFF2-40B4-BE49-F238E27FC236}">
                <a16:creationId xmlns:a16="http://schemas.microsoft.com/office/drawing/2014/main" id="{35356A5A-3367-641B-24C6-FE7D3D262A0E}"/>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115" name="Picture 114">
            <a:hlinkClick xmlns:r="http://schemas.openxmlformats.org/officeDocument/2006/relationships" r:id="rId17" tooltip="Home"/>
            <a:extLst>
              <a:ext uri="{FF2B5EF4-FFF2-40B4-BE49-F238E27FC236}">
                <a16:creationId xmlns:a16="http://schemas.microsoft.com/office/drawing/2014/main" id="{4A9FF283-05E2-2698-46EA-AFF9A1448CE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116" name="Group 115">
            <a:extLst>
              <a:ext uri="{FF2B5EF4-FFF2-40B4-BE49-F238E27FC236}">
                <a16:creationId xmlns:a16="http://schemas.microsoft.com/office/drawing/2014/main" id="{E4DD7EAD-CA2B-A231-1322-EFC336940FFC}"/>
              </a:ext>
            </a:extLst>
          </xdr:cNvPr>
          <xdr:cNvGrpSpPr/>
        </xdr:nvGrpSpPr>
        <xdr:grpSpPr>
          <a:xfrm>
            <a:off x="8739731" y="304801"/>
            <a:ext cx="779626" cy="652742"/>
            <a:chOff x="8739731" y="304801"/>
            <a:chExt cx="779626" cy="652742"/>
          </a:xfrm>
        </xdr:grpSpPr>
        <xdr:pic>
          <xdr:nvPicPr>
            <xdr:cNvPr id="133" name="Picture 132">
              <a:hlinkClick xmlns:r="http://schemas.openxmlformats.org/officeDocument/2006/relationships" r:id="rId19" tooltip="Gas &amp; LNG"/>
              <a:extLst>
                <a:ext uri="{FF2B5EF4-FFF2-40B4-BE49-F238E27FC236}">
                  <a16:creationId xmlns:a16="http://schemas.microsoft.com/office/drawing/2014/main" id="{FE104CA0-4910-BFC6-81B7-E0BFD0F6D22A}"/>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134" name="TextBox 133">
              <a:extLst>
                <a:ext uri="{FF2B5EF4-FFF2-40B4-BE49-F238E27FC236}">
                  <a16:creationId xmlns:a16="http://schemas.microsoft.com/office/drawing/2014/main" id="{F45392F0-5BA7-F8A3-CC5A-CFBBD7CE1BA3}"/>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117" name="Group 116">
            <a:hlinkClick xmlns:r="http://schemas.openxmlformats.org/officeDocument/2006/relationships" r:id="rId21"/>
            <a:extLst>
              <a:ext uri="{FF2B5EF4-FFF2-40B4-BE49-F238E27FC236}">
                <a16:creationId xmlns:a16="http://schemas.microsoft.com/office/drawing/2014/main" id="{C5BB271A-4706-F4CA-F5AC-A77C69AF9808}"/>
              </a:ext>
            </a:extLst>
          </xdr:cNvPr>
          <xdr:cNvGrpSpPr/>
        </xdr:nvGrpSpPr>
        <xdr:grpSpPr>
          <a:xfrm>
            <a:off x="7963288" y="399140"/>
            <a:ext cx="936684" cy="558403"/>
            <a:chOff x="7252446" y="427715"/>
            <a:chExt cx="932330" cy="558403"/>
          </a:xfrm>
        </xdr:grpSpPr>
        <xdr:pic>
          <xdr:nvPicPr>
            <xdr:cNvPr id="131" name="Picture 130">
              <a:extLst>
                <a:ext uri="{FF2B5EF4-FFF2-40B4-BE49-F238E27FC236}">
                  <a16:creationId xmlns:a16="http://schemas.microsoft.com/office/drawing/2014/main" id="{B2D87935-9A78-223D-68E7-87F5C5122759}"/>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132" name="TextBox 131">
              <a:extLst>
                <a:ext uri="{FF2B5EF4-FFF2-40B4-BE49-F238E27FC236}">
                  <a16:creationId xmlns:a16="http://schemas.microsoft.com/office/drawing/2014/main" id="{8CD7BB70-B025-E35F-36F4-E0141B606D5D}"/>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118" name="Group 117">
            <a:hlinkClick xmlns:r="http://schemas.openxmlformats.org/officeDocument/2006/relationships" r:id="rId23"/>
            <a:extLst>
              <a:ext uri="{FF2B5EF4-FFF2-40B4-BE49-F238E27FC236}">
                <a16:creationId xmlns:a16="http://schemas.microsoft.com/office/drawing/2014/main" id="{3FD46DCE-8B83-CCDC-7FEB-0E6C2C9D6E23}"/>
              </a:ext>
            </a:extLst>
          </xdr:cNvPr>
          <xdr:cNvGrpSpPr/>
        </xdr:nvGrpSpPr>
        <xdr:grpSpPr>
          <a:xfrm>
            <a:off x="10117854" y="449143"/>
            <a:ext cx="952892" cy="517367"/>
            <a:chOff x="9402658" y="477718"/>
            <a:chExt cx="952892" cy="517367"/>
          </a:xfrm>
        </xdr:grpSpPr>
        <xdr:pic>
          <xdr:nvPicPr>
            <xdr:cNvPr id="129" name="Picture 128">
              <a:extLst>
                <a:ext uri="{FF2B5EF4-FFF2-40B4-BE49-F238E27FC236}">
                  <a16:creationId xmlns:a16="http://schemas.microsoft.com/office/drawing/2014/main" id="{A18C52B8-5F88-5694-E834-4A2200E5BAA4}"/>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130" name="TextBox 129">
              <a:extLst>
                <a:ext uri="{FF2B5EF4-FFF2-40B4-BE49-F238E27FC236}">
                  <a16:creationId xmlns:a16="http://schemas.microsoft.com/office/drawing/2014/main" id="{9A159940-2771-1E8D-9D6A-D80634A2C547}"/>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119" name="Group 118">
            <a:hlinkClick xmlns:r="http://schemas.openxmlformats.org/officeDocument/2006/relationships" r:id="rId25"/>
            <a:extLst>
              <a:ext uri="{FF2B5EF4-FFF2-40B4-BE49-F238E27FC236}">
                <a16:creationId xmlns:a16="http://schemas.microsoft.com/office/drawing/2014/main" id="{88C5E1C8-C547-0904-33D9-579132587493}"/>
              </a:ext>
            </a:extLst>
          </xdr:cNvPr>
          <xdr:cNvGrpSpPr/>
        </xdr:nvGrpSpPr>
        <xdr:grpSpPr>
          <a:xfrm>
            <a:off x="9340366" y="249331"/>
            <a:ext cx="841559" cy="690282"/>
            <a:chOff x="8625170" y="277906"/>
            <a:chExt cx="841559" cy="690282"/>
          </a:xfrm>
        </xdr:grpSpPr>
        <xdr:pic>
          <xdr:nvPicPr>
            <xdr:cNvPr id="127" name="Picture 126">
              <a:extLst>
                <a:ext uri="{FF2B5EF4-FFF2-40B4-BE49-F238E27FC236}">
                  <a16:creationId xmlns:a16="http://schemas.microsoft.com/office/drawing/2014/main" id="{8D229E1C-77A2-B5D2-0F2A-35FB04B24D5C}"/>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128" name="TextBox 127">
              <a:extLst>
                <a:ext uri="{FF2B5EF4-FFF2-40B4-BE49-F238E27FC236}">
                  <a16:creationId xmlns:a16="http://schemas.microsoft.com/office/drawing/2014/main" id="{255C647F-77E4-C061-06F2-02F6E278BEEF}"/>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120" name="Group 119">
            <a:hlinkClick xmlns:r="http://schemas.openxmlformats.org/officeDocument/2006/relationships" r:id="rId27"/>
            <a:extLst>
              <a:ext uri="{FF2B5EF4-FFF2-40B4-BE49-F238E27FC236}">
                <a16:creationId xmlns:a16="http://schemas.microsoft.com/office/drawing/2014/main" id="{8B08E922-B39C-CD20-E851-E3409AB77E75}"/>
              </a:ext>
            </a:extLst>
          </xdr:cNvPr>
          <xdr:cNvGrpSpPr/>
        </xdr:nvGrpSpPr>
        <xdr:grpSpPr>
          <a:xfrm>
            <a:off x="10773597" y="215530"/>
            <a:ext cx="1425389" cy="957239"/>
            <a:chOff x="10094261" y="244105"/>
            <a:chExt cx="1425389" cy="957239"/>
          </a:xfrm>
        </xdr:grpSpPr>
        <xdr:pic>
          <xdr:nvPicPr>
            <xdr:cNvPr id="125" name="Picture 124">
              <a:extLst>
                <a:ext uri="{FF2B5EF4-FFF2-40B4-BE49-F238E27FC236}">
                  <a16:creationId xmlns:a16="http://schemas.microsoft.com/office/drawing/2014/main" id="{D1E55AC2-9616-4D8D-1B84-002EFFC276D4}"/>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126" name="TextBox 125">
              <a:extLst>
                <a:ext uri="{FF2B5EF4-FFF2-40B4-BE49-F238E27FC236}">
                  <a16:creationId xmlns:a16="http://schemas.microsoft.com/office/drawing/2014/main" id="{77D50F92-252F-A868-8F50-7F9C06D3002E}"/>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121" name="Rectangle: Rounded Corners 120">
            <a:extLst>
              <a:ext uri="{FF2B5EF4-FFF2-40B4-BE49-F238E27FC236}">
                <a16:creationId xmlns:a16="http://schemas.microsoft.com/office/drawing/2014/main" id="{598CF413-CA11-8E53-78FE-4F2146B3C1E8}"/>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122" name="Group 121">
            <a:hlinkClick xmlns:r="http://schemas.openxmlformats.org/officeDocument/2006/relationships" r:id="rId29"/>
            <a:extLst>
              <a:ext uri="{FF2B5EF4-FFF2-40B4-BE49-F238E27FC236}">
                <a16:creationId xmlns:a16="http://schemas.microsoft.com/office/drawing/2014/main" id="{B0B82308-B171-0866-B5A9-4D8FF400A370}"/>
              </a:ext>
            </a:extLst>
          </xdr:cNvPr>
          <xdr:cNvGrpSpPr/>
        </xdr:nvGrpSpPr>
        <xdr:grpSpPr>
          <a:xfrm>
            <a:off x="1717819" y="429577"/>
            <a:ext cx="521114" cy="502920"/>
            <a:chOff x="1714500" y="434340"/>
            <a:chExt cx="521114" cy="502920"/>
          </a:xfrm>
        </xdr:grpSpPr>
        <xdr:pic>
          <xdr:nvPicPr>
            <xdr:cNvPr id="123" name="Picture 122">
              <a:extLst>
                <a:ext uri="{FF2B5EF4-FFF2-40B4-BE49-F238E27FC236}">
                  <a16:creationId xmlns:a16="http://schemas.microsoft.com/office/drawing/2014/main" id="{85E798CC-7CC5-D21A-021B-47C853797452}"/>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124" name="TextBox 123">
              <a:extLst>
                <a:ext uri="{FF2B5EF4-FFF2-40B4-BE49-F238E27FC236}">
                  <a16:creationId xmlns:a16="http://schemas.microsoft.com/office/drawing/2014/main" id="{EBE42D91-0BEB-4C82-9C62-11ECD75CE546}"/>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496128</xdr:colOff>
      <xdr:row>65</xdr:row>
      <xdr:rowOff>4760</xdr:rowOff>
    </xdr:from>
    <xdr:to>
      <xdr:col>17</xdr:col>
      <xdr:colOff>249521</xdr:colOff>
      <xdr:row>93</xdr:row>
      <xdr:rowOff>31991</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6970"/>
        <a:stretch/>
      </xdr:blipFill>
      <xdr:spPr>
        <a:xfrm>
          <a:off x="2428342" y="13747974"/>
          <a:ext cx="8421143" cy="4846881"/>
        </a:xfrm>
        <a:prstGeom prst="rect">
          <a:avLst/>
        </a:prstGeom>
      </xdr:spPr>
    </xdr:pic>
    <xdr:clientData/>
  </xdr:twoCellAnchor>
  <xdr:twoCellAnchor editAs="oneCell">
    <xdr:from>
      <xdr:col>3</xdr:col>
      <xdr:colOff>268941</xdr:colOff>
      <xdr:row>4</xdr:row>
      <xdr:rowOff>53788</xdr:rowOff>
    </xdr:from>
    <xdr:to>
      <xdr:col>17</xdr:col>
      <xdr:colOff>29762</xdr:colOff>
      <xdr:row>35</xdr:row>
      <xdr:rowOff>53088</xdr:rowOff>
    </xdr:to>
    <xdr:pic>
      <xdr:nvPicPr>
        <xdr:cNvPr id="59" name="Picture 7">
          <a:extLst>
            <a:ext uri="{FF2B5EF4-FFF2-40B4-BE49-F238E27FC236}">
              <a16:creationId xmlns:a16="http://schemas.microsoft.com/office/drawing/2014/main" id="{00000000-0008-0000-0100-00003B000000}"/>
            </a:ext>
            <a:ext uri="{147F2762-F138-4A5C-976F-8EAC2B608ADB}">
              <a16:predDERef xmlns:a16="http://schemas.microsoft.com/office/drawing/2014/main" pred="{00000000-0008-0000-0100-000066000000}"/>
            </a:ext>
          </a:extLst>
        </xdr:cNvPr>
        <xdr:cNvPicPr>
          <a:picLocks noChangeAspect="1"/>
        </xdr:cNvPicPr>
      </xdr:nvPicPr>
      <xdr:blipFill>
        <a:blip xmlns:r="http://schemas.openxmlformats.org/officeDocument/2006/relationships" r:embed="rId2"/>
        <a:stretch>
          <a:fillRect/>
        </a:stretch>
      </xdr:blipFill>
      <xdr:spPr>
        <a:xfrm>
          <a:off x="2178423" y="2725270"/>
          <a:ext cx="8428571" cy="5609525"/>
        </a:xfrm>
        <a:prstGeom prst="rect">
          <a:avLst/>
        </a:prstGeom>
      </xdr:spPr>
    </xdr:pic>
    <xdr:clientData/>
  </xdr:twoCellAnchor>
  <xdr:twoCellAnchor editAs="oneCell">
    <xdr:from>
      <xdr:col>3</xdr:col>
      <xdr:colOff>501416</xdr:colOff>
      <xdr:row>4</xdr:row>
      <xdr:rowOff>92534</xdr:rowOff>
    </xdr:from>
    <xdr:to>
      <xdr:col>16</xdr:col>
      <xdr:colOff>573682</xdr:colOff>
      <xdr:row>37</xdr:row>
      <xdr:rowOff>597</xdr:rowOff>
    </xdr:to>
    <xdr:pic>
      <xdr:nvPicPr>
        <xdr:cNvPr id="63" name="Picture 7">
          <a:extLst>
            <a:ext uri="{FF2B5EF4-FFF2-40B4-BE49-F238E27FC236}">
              <a16:creationId xmlns:a16="http://schemas.microsoft.com/office/drawing/2014/main" id="{00000000-0008-0000-0100-00003F000000}"/>
            </a:ext>
            <a:ext uri="{147F2762-F138-4A5C-976F-8EAC2B608ADB}">
              <a16:predDERef xmlns:a16="http://schemas.microsoft.com/office/drawing/2014/main" pred="{00000000-0008-0000-0100-00003B000000}"/>
            </a:ext>
          </a:extLst>
        </xdr:cNvPr>
        <xdr:cNvPicPr>
          <a:picLocks noChangeAspect="1"/>
        </xdr:cNvPicPr>
      </xdr:nvPicPr>
      <xdr:blipFill>
        <a:blip xmlns:r="http://schemas.openxmlformats.org/officeDocument/2006/relationships" r:embed="rId2"/>
        <a:stretch>
          <a:fillRect/>
        </a:stretch>
      </xdr:blipFill>
      <xdr:spPr>
        <a:xfrm>
          <a:off x="2438704" y="2765992"/>
          <a:ext cx="8549062" cy="5656627"/>
        </a:xfrm>
        <a:prstGeom prst="rect">
          <a:avLst/>
        </a:prstGeom>
      </xdr:spPr>
    </xdr:pic>
    <xdr:clientData/>
  </xdr:twoCellAnchor>
  <xdr:twoCellAnchor editAs="oneCell">
    <xdr:from>
      <xdr:col>4</xdr:col>
      <xdr:colOff>400049</xdr:colOff>
      <xdr:row>37</xdr:row>
      <xdr:rowOff>2722</xdr:rowOff>
    </xdr:from>
    <xdr:to>
      <xdr:col>17</xdr:col>
      <xdr:colOff>283844</xdr:colOff>
      <xdr:row>64</xdr:row>
      <xdr:rowOff>53885</xdr:rowOff>
    </xdr:to>
    <xdr:pic>
      <xdr:nvPicPr>
        <xdr:cNvPr id="42" name="Picture 24">
          <a:extLst>
            <a:ext uri="{FF2B5EF4-FFF2-40B4-BE49-F238E27FC236}">
              <a16:creationId xmlns:a16="http://schemas.microsoft.com/office/drawing/2014/main" id="{00000000-0008-0000-0100-00002A000000}"/>
            </a:ext>
            <a:ext uri="{147F2762-F138-4A5C-976F-8EAC2B608ADB}">
              <a16:predDERef xmlns:a16="http://schemas.microsoft.com/office/drawing/2014/main" pred="{00000000-0008-0000-0100-000002000000}"/>
            </a:ext>
          </a:extLst>
        </xdr:cNvPr>
        <xdr:cNvPicPr>
          <a:picLocks noChangeAspect="1"/>
        </xdr:cNvPicPr>
      </xdr:nvPicPr>
      <xdr:blipFill>
        <a:blip xmlns:r="http://schemas.openxmlformats.org/officeDocument/2006/relationships" r:embed="rId3"/>
        <a:stretch>
          <a:fillRect/>
        </a:stretch>
      </xdr:blipFill>
      <xdr:spPr>
        <a:xfrm>
          <a:off x="2849335" y="8534401"/>
          <a:ext cx="7843973" cy="4827270"/>
        </a:xfrm>
        <a:prstGeom prst="rect">
          <a:avLst/>
        </a:prstGeom>
      </xdr:spPr>
    </xdr:pic>
    <xdr:clientData/>
  </xdr:twoCellAnchor>
  <xdr:twoCellAnchor>
    <xdr:from>
      <xdr:col>0</xdr:col>
      <xdr:colOff>0</xdr:colOff>
      <xdr:row>0</xdr:row>
      <xdr:rowOff>0</xdr:rowOff>
    </xdr:from>
    <xdr:to>
      <xdr:col>19</xdr:col>
      <xdr:colOff>402137</xdr:colOff>
      <xdr:row>0</xdr:row>
      <xdr:rowOff>1190625</xdr:rowOff>
    </xdr:to>
    <xdr:grpSp>
      <xdr:nvGrpSpPr>
        <xdr:cNvPr id="72" name="Group 71">
          <a:extLst>
            <a:ext uri="{FF2B5EF4-FFF2-40B4-BE49-F238E27FC236}">
              <a16:creationId xmlns:a16="http://schemas.microsoft.com/office/drawing/2014/main" id="{39B327EF-4B21-4238-AB8F-91166D0A8370}"/>
            </a:ext>
          </a:extLst>
        </xdr:cNvPr>
        <xdr:cNvGrpSpPr/>
      </xdr:nvGrpSpPr>
      <xdr:grpSpPr>
        <a:xfrm>
          <a:off x="0" y="0"/>
          <a:ext cx="11984537" cy="1190625"/>
          <a:chOff x="0" y="0"/>
          <a:chExt cx="12198986" cy="1190625"/>
        </a:xfrm>
      </xdr:grpSpPr>
      <xdr:sp macro="" textlink="">
        <xdr:nvSpPr>
          <xdr:cNvPr id="73" name="TextBox 72">
            <a:extLst>
              <a:ext uri="{FF2B5EF4-FFF2-40B4-BE49-F238E27FC236}">
                <a16:creationId xmlns:a16="http://schemas.microsoft.com/office/drawing/2014/main" id="{F9A68E8A-674C-CAB9-F68A-5580E397EDB9}"/>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74" name="TextBox 73">
            <a:extLst>
              <a:ext uri="{FF2B5EF4-FFF2-40B4-BE49-F238E27FC236}">
                <a16:creationId xmlns:a16="http://schemas.microsoft.com/office/drawing/2014/main" id="{9DFCACA8-7A30-DC90-6400-D2F651E6DBF0}"/>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75" name="TextBox 74">
            <a:extLst>
              <a:ext uri="{FF2B5EF4-FFF2-40B4-BE49-F238E27FC236}">
                <a16:creationId xmlns:a16="http://schemas.microsoft.com/office/drawing/2014/main" id="{276A1DC1-C0C7-A97B-394A-22834B56C256}"/>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76" name="Picture 75">
            <a:hlinkClick xmlns:r="http://schemas.openxmlformats.org/officeDocument/2006/relationships" r:id="rId4" tooltip="Education"/>
            <a:extLst>
              <a:ext uri="{FF2B5EF4-FFF2-40B4-BE49-F238E27FC236}">
                <a16:creationId xmlns:a16="http://schemas.microsoft.com/office/drawing/2014/main" id="{D0C13FB9-CEA4-3A18-D54A-25C8AFC1983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77" name="Picture 76">
            <a:hlinkClick xmlns:r="http://schemas.openxmlformats.org/officeDocument/2006/relationships" r:id="rId6" tooltip="Terms &amp; Conditions"/>
            <a:extLst>
              <a:ext uri="{FF2B5EF4-FFF2-40B4-BE49-F238E27FC236}">
                <a16:creationId xmlns:a16="http://schemas.microsoft.com/office/drawing/2014/main" id="{C3BC7FAA-466C-0DA7-06F1-7A037AD70DF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78" name="Picture 77">
            <a:hlinkClick xmlns:r="http://schemas.openxmlformats.org/officeDocument/2006/relationships" r:id="rId8" tooltip="User Guide"/>
            <a:extLst>
              <a:ext uri="{FF2B5EF4-FFF2-40B4-BE49-F238E27FC236}">
                <a16:creationId xmlns:a16="http://schemas.microsoft.com/office/drawing/2014/main" id="{CA539238-8292-9A09-C092-EE50BAE049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79" name="Picture 78">
            <a:hlinkClick xmlns:r="http://schemas.openxmlformats.org/officeDocument/2006/relationships" r:id="rId10" tooltip="Dashboard"/>
            <a:extLst>
              <a:ext uri="{FF2B5EF4-FFF2-40B4-BE49-F238E27FC236}">
                <a16:creationId xmlns:a16="http://schemas.microsoft.com/office/drawing/2014/main" id="{8A7E0BDF-2D4A-FCF6-1960-815B190DFC1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80" name="Picture 79">
            <a:hlinkClick xmlns:r="http://schemas.openxmlformats.org/officeDocument/2006/relationships" r:id="rId12" tooltip="Factors"/>
            <a:extLst>
              <a:ext uri="{FF2B5EF4-FFF2-40B4-BE49-F238E27FC236}">
                <a16:creationId xmlns:a16="http://schemas.microsoft.com/office/drawing/2014/main" id="{57BC8671-8ECF-E214-3F6D-A3A18FCC4DA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81" name="Picture 80">
            <a:hlinkClick xmlns:r="http://schemas.openxmlformats.org/officeDocument/2006/relationships" r:id="rId14" tooltip="Alternative Calculations"/>
            <a:extLst>
              <a:ext uri="{FF2B5EF4-FFF2-40B4-BE49-F238E27FC236}">
                <a16:creationId xmlns:a16="http://schemas.microsoft.com/office/drawing/2014/main" id="{833E1994-D5DD-7F6B-22CC-8DA1A7D9074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82" name="Picture 81">
            <a:hlinkClick xmlns:r="http://schemas.openxmlformats.org/officeDocument/2006/relationships" r:id="rId16" tooltip="Abbreviations"/>
            <a:extLst>
              <a:ext uri="{FF2B5EF4-FFF2-40B4-BE49-F238E27FC236}">
                <a16:creationId xmlns:a16="http://schemas.microsoft.com/office/drawing/2014/main" id="{F35D947B-35A6-E4DA-7F32-9653B3F826A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83" name="Picture 82">
            <a:hlinkClick xmlns:r="http://schemas.openxmlformats.org/officeDocument/2006/relationships" r:id="rId18" tooltip="Oil and Refined Products"/>
            <a:extLst>
              <a:ext uri="{FF2B5EF4-FFF2-40B4-BE49-F238E27FC236}">
                <a16:creationId xmlns:a16="http://schemas.microsoft.com/office/drawing/2014/main" id="{B300CD30-ADD8-0E33-CF15-81CD8C4AD7A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84" name="Rectangle: Rounded Corners 83">
            <a:extLst>
              <a:ext uri="{FF2B5EF4-FFF2-40B4-BE49-F238E27FC236}">
                <a16:creationId xmlns:a16="http://schemas.microsoft.com/office/drawing/2014/main" id="{EA8EE573-7A43-3714-548C-B2132F7C46DA}"/>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85" name="Rectangle: Rounded Corners 84">
            <a:extLst>
              <a:ext uri="{FF2B5EF4-FFF2-40B4-BE49-F238E27FC236}">
                <a16:creationId xmlns:a16="http://schemas.microsoft.com/office/drawing/2014/main" id="{B4EBADBD-1E50-19C4-8F89-248CE4BC6114}"/>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86" name="Picture 85">
            <a:hlinkClick xmlns:r="http://schemas.openxmlformats.org/officeDocument/2006/relationships" r:id="rId20" tooltip="Home"/>
            <a:extLst>
              <a:ext uri="{FF2B5EF4-FFF2-40B4-BE49-F238E27FC236}">
                <a16:creationId xmlns:a16="http://schemas.microsoft.com/office/drawing/2014/main" id="{E7C83204-5C07-93C1-4F71-B7C2FE553D6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87" name="Group 86">
            <a:extLst>
              <a:ext uri="{FF2B5EF4-FFF2-40B4-BE49-F238E27FC236}">
                <a16:creationId xmlns:a16="http://schemas.microsoft.com/office/drawing/2014/main" id="{191CAACC-17EB-B909-0250-DD8EBE54AE0C}"/>
              </a:ext>
            </a:extLst>
          </xdr:cNvPr>
          <xdr:cNvGrpSpPr/>
        </xdr:nvGrpSpPr>
        <xdr:grpSpPr>
          <a:xfrm>
            <a:off x="8739731" y="304801"/>
            <a:ext cx="779626" cy="652742"/>
            <a:chOff x="8739731" y="304801"/>
            <a:chExt cx="779626" cy="652742"/>
          </a:xfrm>
        </xdr:grpSpPr>
        <xdr:pic>
          <xdr:nvPicPr>
            <xdr:cNvPr id="104" name="Picture 103">
              <a:hlinkClick xmlns:r="http://schemas.openxmlformats.org/officeDocument/2006/relationships" r:id="rId22" tooltip="Gas &amp; LNG"/>
              <a:extLst>
                <a:ext uri="{FF2B5EF4-FFF2-40B4-BE49-F238E27FC236}">
                  <a16:creationId xmlns:a16="http://schemas.microsoft.com/office/drawing/2014/main" id="{C2F7EBDA-C3BF-0D84-9AD0-3ABB49F8BE38}"/>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105" name="TextBox 104">
              <a:extLst>
                <a:ext uri="{FF2B5EF4-FFF2-40B4-BE49-F238E27FC236}">
                  <a16:creationId xmlns:a16="http://schemas.microsoft.com/office/drawing/2014/main" id="{B6BD33CD-E71B-9D41-580E-3D7E3925EA6C}"/>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88" name="Group 87">
            <a:hlinkClick xmlns:r="http://schemas.openxmlformats.org/officeDocument/2006/relationships" r:id="rId24"/>
            <a:extLst>
              <a:ext uri="{FF2B5EF4-FFF2-40B4-BE49-F238E27FC236}">
                <a16:creationId xmlns:a16="http://schemas.microsoft.com/office/drawing/2014/main" id="{41E7C86F-43C6-44A1-509C-716A4D1A06DB}"/>
              </a:ext>
            </a:extLst>
          </xdr:cNvPr>
          <xdr:cNvGrpSpPr/>
        </xdr:nvGrpSpPr>
        <xdr:grpSpPr>
          <a:xfrm>
            <a:off x="7963288" y="399140"/>
            <a:ext cx="936684" cy="558403"/>
            <a:chOff x="7252446" y="427715"/>
            <a:chExt cx="932330" cy="558403"/>
          </a:xfrm>
        </xdr:grpSpPr>
        <xdr:pic>
          <xdr:nvPicPr>
            <xdr:cNvPr id="102" name="Picture 101">
              <a:extLst>
                <a:ext uri="{FF2B5EF4-FFF2-40B4-BE49-F238E27FC236}">
                  <a16:creationId xmlns:a16="http://schemas.microsoft.com/office/drawing/2014/main" id="{3B21D50B-97B3-B881-47CA-DDAA89F5C53A}"/>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5"/>
            <a:stretch>
              <a:fillRect/>
            </a:stretch>
          </xdr:blipFill>
          <xdr:spPr>
            <a:xfrm>
              <a:off x="7404131" y="427715"/>
              <a:ext cx="582522" cy="453422"/>
            </a:xfrm>
            <a:prstGeom prst="rect">
              <a:avLst/>
            </a:prstGeom>
          </xdr:spPr>
        </xdr:pic>
        <xdr:sp macro="" textlink="">
          <xdr:nvSpPr>
            <xdr:cNvPr id="103" name="TextBox 102">
              <a:extLst>
                <a:ext uri="{FF2B5EF4-FFF2-40B4-BE49-F238E27FC236}">
                  <a16:creationId xmlns:a16="http://schemas.microsoft.com/office/drawing/2014/main" id="{14B859B8-FBF7-2667-765E-6F69FA8B1AC7}"/>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89" name="Group 88">
            <a:hlinkClick xmlns:r="http://schemas.openxmlformats.org/officeDocument/2006/relationships" r:id="rId26"/>
            <a:extLst>
              <a:ext uri="{FF2B5EF4-FFF2-40B4-BE49-F238E27FC236}">
                <a16:creationId xmlns:a16="http://schemas.microsoft.com/office/drawing/2014/main" id="{8DEC2123-F1FA-2558-3EB7-7DB612C36410}"/>
              </a:ext>
            </a:extLst>
          </xdr:cNvPr>
          <xdr:cNvGrpSpPr/>
        </xdr:nvGrpSpPr>
        <xdr:grpSpPr>
          <a:xfrm>
            <a:off x="10117854" y="449143"/>
            <a:ext cx="952892" cy="517367"/>
            <a:chOff x="9402658" y="477718"/>
            <a:chExt cx="952892" cy="517367"/>
          </a:xfrm>
        </xdr:grpSpPr>
        <xdr:pic>
          <xdr:nvPicPr>
            <xdr:cNvPr id="100" name="Picture 99">
              <a:extLst>
                <a:ext uri="{FF2B5EF4-FFF2-40B4-BE49-F238E27FC236}">
                  <a16:creationId xmlns:a16="http://schemas.microsoft.com/office/drawing/2014/main" id="{DF420E29-959E-D49E-46A1-B525B914D445}"/>
                </a:ext>
              </a:extLst>
            </xdr:cNvPr>
            <xdr:cNvPicPr>
              <a:picLocks noChangeAspect="1"/>
            </xdr:cNvPicPr>
          </xdr:nvPicPr>
          <xdr:blipFill>
            <a:blip xmlns:r="http://schemas.openxmlformats.org/officeDocument/2006/relationships" r:embed="rId27"/>
            <a:stretch>
              <a:fillRect/>
            </a:stretch>
          </xdr:blipFill>
          <xdr:spPr>
            <a:xfrm>
              <a:off x="9525454" y="477718"/>
              <a:ext cx="679846" cy="340639"/>
            </a:xfrm>
            <a:prstGeom prst="rect">
              <a:avLst/>
            </a:prstGeom>
          </xdr:spPr>
        </xdr:pic>
        <xdr:sp macro="" textlink="">
          <xdr:nvSpPr>
            <xdr:cNvPr id="101" name="TextBox 100">
              <a:extLst>
                <a:ext uri="{FF2B5EF4-FFF2-40B4-BE49-F238E27FC236}">
                  <a16:creationId xmlns:a16="http://schemas.microsoft.com/office/drawing/2014/main" id="{CC00B3D4-7590-D957-95F4-3CC8E68E86C1}"/>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90" name="Group 89">
            <a:hlinkClick xmlns:r="http://schemas.openxmlformats.org/officeDocument/2006/relationships" r:id="rId28"/>
            <a:extLst>
              <a:ext uri="{FF2B5EF4-FFF2-40B4-BE49-F238E27FC236}">
                <a16:creationId xmlns:a16="http://schemas.microsoft.com/office/drawing/2014/main" id="{8498CAD9-76D1-0268-B3D1-D7A5C6E1767B}"/>
              </a:ext>
            </a:extLst>
          </xdr:cNvPr>
          <xdr:cNvGrpSpPr/>
        </xdr:nvGrpSpPr>
        <xdr:grpSpPr>
          <a:xfrm>
            <a:off x="9340366" y="249331"/>
            <a:ext cx="841559" cy="690282"/>
            <a:chOff x="8625170" y="277906"/>
            <a:chExt cx="841559" cy="690282"/>
          </a:xfrm>
        </xdr:grpSpPr>
        <xdr:pic>
          <xdr:nvPicPr>
            <xdr:cNvPr id="98" name="Picture 97">
              <a:extLst>
                <a:ext uri="{FF2B5EF4-FFF2-40B4-BE49-F238E27FC236}">
                  <a16:creationId xmlns:a16="http://schemas.microsoft.com/office/drawing/2014/main" id="{615AA02F-1E5A-0AD0-EDBC-4FC04AB281C5}"/>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9"/>
            <a:stretch>
              <a:fillRect/>
            </a:stretch>
          </xdr:blipFill>
          <xdr:spPr>
            <a:xfrm>
              <a:off x="8686800" y="277906"/>
              <a:ext cx="685800" cy="577215"/>
            </a:xfrm>
            <a:prstGeom prst="rect">
              <a:avLst/>
            </a:prstGeom>
          </xdr:spPr>
        </xdr:pic>
        <xdr:sp macro="" textlink="">
          <xdr:nvSpPr>
            <xdr:cNvPr id="99" name="TextBox 98">
              <a:extLst>
                <a:ext uri="{FF2B5EF4-FFF2-40B4-BE49-F238E27FC236}">
                  <a16:creationId xmlns:a16="http://schemas.microsoft.com/office/drawing/2014/main" id="{75B11C05-5727-06EC-FBCC-7C7553ABDBC7}"/>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91" name="Group 90">
            <a:hlinkClick xmlns:r="http://schemas.openxmlformats.org/officeDocument/2006/relationships" r:id="rId30"/>
            <a:extLst>
              <a:ext uri="{FF2B5EF4-FFF2-40B4-BE49-F238E27FC236}">
                <a16:creationId xmlns:a16="http://schemas.microsoft.com/office/drawing/2014/main" id="{27A5A6A5-CDF4-9C6F-9354-99CE6ED87D1A}"/>
              </a:ext>
            </a:extLst>
          </xdr:cNvPr>
          <xdr:cNvGrpSpPr/>
        </xdr:nvGrpSpPr>
        <xdr:grpSpPr>
          <a:xfrm>
            <a:off x="10773597" y="215530"/>
            <a:ext cx="1425389" cy="957239"/>
            <a:chOff x="10094261" y="244105"/>
            <a:chExt cx="1425389" cy="957239"/>
          </a:xfrm>
        </xdr:grpSpPr>
        <xdr:pic>
          <xdr:nvPicPr>
            <xdr:cNvPr id="96" name="Picture 95">
              <a:extLst>
                <a:ext uri="{FF2B5EF4-FFF2-40B4-BE49-F238E27FC236}">
                  <a16:creationId xmlns:a16="http://schemas.microsoft.com/office/drawing/2014/main" id="{CDF7C1C7-4EB0-04BA-0285-193271AFCB0C}"/>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31"/>
            <a:stretch>
              <a:fillRect/>
            </a:stretch>
          </xdr:blipFill>
          <xdr:spPr>
            <a:xfrm>
              <a:off x="10548612" y="244105"/>
              <a:ext cx="458002" cy="608284"/>
            </a:xfrm>
            <a:prstGeom prst="rect">
              <a:avLst/>
            </a:prstGeom>
          </xdr:spPr>
        </xdr:pic>
        <xdr:sp macro="" textlink="">
          <xdr:nvSpPr>
            <xdr:cNvPr id="97" name="TextBox 96">
              <a:extLst>
                <a:ext uri="{FF2B5EF4-FFF2-40B4-BE49-F238E27FC236}">
                  <a16:creationId xmlns:a16="http://schemas.microsoft.com/office/drawing/2014/main" id="{15EAA418-AE4C-0047-057B-C738216A9D82}"/>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92" name="Rectangle: Rounded Corners 91">
            <a:extLst>
              <a:ext uri="{FF2B5EF4-FFF2-40B4-BE49-F238E27FC236}">
                <a16:creationId xmlns:a16="http://schemas.microsoft.com/office/drawing/2014/main" id="{39CF2A09-C8DC-0913-EFD0-5054B70D8C19}"/>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93" name="Group 92">
            <a:hlinkClick xmlns:r="http://schemas.openxmlformats.org/officeDocument/2006/relationships" r:id="rId32"/>
            <a:extLst>
              <a:ext uri="{FF2B5EF4-FFF2-40B4-BE49-F238E27FC236}">
                <a16:creationId xmlns:a16="http://schemas.microsoft.com/office/drawing/2014/main" id="{ED74F7F5-6879-5194-6401-87AA623B49A8}"/>
              </a:ext>
            </a:extLst>
          </xdr:cNvPr>
          <xdr:cNvGrpSpPr/>
        </xdr:nvGrpSpPr>
        <xdr:grpSpPr>
          <a:xfrm>
            <a:off x="1717819" y="429577"/>
            <a:ext cx="521114" cy="502920"/>
            <a:chOff x="1714500" y="434340"/>
            <a:chExt cx="521114" cy="502920"/>
          </a:xfrm>
        </xdr:grpSpPr>
        <xdr:pic>
          <xdr:nvPicPr>
            <xdr:cNvPr id="94" name="Picture 93">
              <a:extLst>
                <a:ext uri="{FF2B5EF4-FFF2-40B4-BE49-F238E27FC236}">
                  <a16:creationId xmlns:a16="http://schemas.microsoft.com/office/drawing/2014/main" id="{23289A24-90A1-6F45-9340-77B1CCC6A2E5}"/>
                </a:ext>
              </a:extLst>
            </xdr:cNvPr>
            <xdr:cNvPicPr>
              <a:picLocks noChangeAspect="1"/>
            </xdr:cNvPicPr>
          </xdr:nvPicPr>
          <xdr:blipFill>
            <a:blip xmlns:r="http://schemas.openxmlformats.org/officeDocument/2006/relationships" r:embed="rId33"/>
            <a:stretch>
              <a:fillRect/>
            </a:stretch>
          </xdr:blipFill>
          <xdr:spPr>
            <a:xfrm>
              <a:off x="1739946" y="434340"/>
              <a:ext cx="495668" cy="367536"/>
            </a:xfrm>
            <a:prstGeom prst="rect">
              <a:avLst/>
            </a:prstGeom>
          </xdr:spPr>
        </xdr:pic>
        <xdr:sp macro="" textlink="">
          <xdr:nvSpPr>
            <xdr:cNvPr id="95" name="TextBox 94">
              <a:extLst>
                <a:ext uri="{FF2B5EF4-FFF2-40B4-BE49-F238E27FC236}">
                  <a16:creationId xmlns:a16="http://schemas.microsoft.com/office/drawing/2014/main" id="{01CFB5B2-6CC8-90A3-3F13-0EA7A471A7F5}"/>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554537</xdr:colOff>
      <xdr:row>0</xdr:row>
      <xdr:rowOff>1190625</xdr:rowOff>
    </xdr:to>
    <xdr:grpSp>
      <xdr:nvGrpSpPr>
        <xdr:cNvPr id="67" name="Group 66">
          <a:extLst>
            <a:ext uri="{FF2B5EF4-FFF2-40B4-BE49-F238E27FC236}">
              <a16:creationId xmlns:a16="http://schemas.microsoft.com/office/drawing/2014/main" id="{A0CB066C-EF94-42B4-BF54-F9FE0AEFCFC1}"/>
            </a:ext>
          </a:extLst>
        </xdr:cNvPr>
        <xdr:cNvGrpSpPr/>
      </xdr:nvGrpSpPr>
      <xdr:grpSpPr>
        <a:xfrm>
          <a:off x="0" y="0"/>
          <a:ext cx="11860712" cy="1190625"/>
          <a:chOff x="0" y="0"/>
          <a:chExt cx="12198986" cy="1190625"/>
        </a:xfrm>
      </xdr:grpSpPr>
      <xdr:sp macro="" textlink="">
        <xdr:nvSpPr>
          <xdr:cNvPr id="68" name="TextBox 67">
            <a:extLst>
              <a:ext uri="{FF2B5EF4-FFF2-40B4-BE49-F238E27FC236}">
                <a16:creationId xmlns:a16="http://schemas.microsoft.com/office/drawing/2014/main" id="{7BC41534-BA0E-2177-90E7-8D524F74FA27}"/>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69" name="TextBox 68">
            <a:extLst>
              <a:ext uri="{FF2B5EF4-FFF2-40B4-BE49-F238E27FC236}">
                <a16:creationId xmlns:a16="http://schemas.microsoft.com/office/drawing/2014/main" id="{22ECABBA-FCF1-9ECE-3C34-574BF247ED6F}"/>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70" name="TextBox 69">
            <a:extLst>
              <a:ext uri="{FF2B5EF4-FFF2-40B4-BE49-F238E27FC236}">
                <a16:creationId xmlns:a16="http://schemas.microsoft.com/office/drawing/2014/main" id="{4B4B271C-58C3-58E7-828A-A1AAA0AF2E4C}"/>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71" name="Picture 70">
            <a:hlinkClick xmlns:r="http://schemas.openxmlformats.org/officeDocument/2006/relationships" r:id="rId1" tooltip="Education"/>
            <a:extLst>
              <a:ext uri="{FF2B5EF4-FFF2-40B4-BE49-F238E27FC236}">
                <a16:creationId xmlns:a16="http://schemas.microsoft.com/office/drawing/2014/main" id="{26486300-A13A-B577-FB69-B442B50D31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72" name="Picture 71">
            <a:hlinkClick xmlns:r="http://schemas.openxmlformats.org/officeDocument/2006/relationships" r:id="rId3" tooltip="Terms &amp; Conditions"/>
            <a:extLst>
              <a:ext uri="{FF2B5EF4-FFF2-40B4-BE49-F238E27FC236}">
                <a16:creationId xmlns:a16="http://schemas.microsoft.com/office/drawing/2014/main" id="{6A66580F-A5C8-6B68-1632-B1409F264F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73" name="Picture 72">
            <a:hlinkClick xmlns:r="http://schemas.openxmlformats.org/officeDocument/2006/relationships" r:id="rId5" tooltip="User Guide"/>
            <a:extLst>
              <a:ext uri="{FF2B5EF4-FFF2-40B4-BE49-F238E27FC236}">
                <a16:creationId xmlns:a16="http://schemas.microsoft.com/office/drawing/2014/main" id="{5373EEE2-8B48-440F-4E6B-10CF3893D27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74" name="Picture 73">
            <a:hlinkClick xmlns:r="http://schemas.openxmlformats.org/officeDocument/2006/relationships" r:id="rId7" tooltip="Dashboard"/>
            <a:extLst>
              <a:ext uri="{FF2B5EF4-FFF2-40B4-BE49-F238E27FC236}">
                <a16:creationId xmlns:a16="http://schemas.microsoft.com/office/drawing/2014/main" id="{7C8A05BB-41FB-E9CB-5CED-7DD178C8666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75" name="Picture 74">
            <a:hlinkClick xmlns:r="http://schemas.openxmlformats.org/officeDocument/2006/relationships" r:id="rId9" tooltip="Factors"/>
            <a:extLst>
              <a:ext uri="{FF2B5EF4-FFF2-40B4-BE49-F238E27FC236}">
                <a16:creationId xmlns:a16="http://schemas.microsoft.com/office/drawing/2014/main" id="{31E6E262-4359-183E-5243-1F27DE4ED95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76" name="Picture 75">
            <a:hlinkClick xmlns:r="http://schemas.openxmlformats.org/officeDocument/2006/relationships" r:id="rId11" tooltip="Alternative Calculations"/>
            <a:extLst>
              <a:ext uri="{FF2B5EF4-FFF2-40B4-BE49-F238E27FC236}">
                <a16:creationId xmlns:a16="http://schemas.microsoft.com/office/drawing/2014/main" id="{A5A59160-B737-0FB3-2575-FE327C52614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77" name="Picture 76">
            <a:hlinkClick xmlns:r="http://schemas.openxmlformats.org/officeDocument/2006/relationships" r:id="rId13" tooltip="Abbreviations"/>
            <a:extLst>
              <a:ext uri="{FF2B5EF4-FFF2-40B4-BE49-F238E27FC236}">
                <a16:creationId xmlns:a16="http://schemas.microsoft.com/office/drawing/2014/main" id="{D16EF432-7250-252A-582C-2BE3D03A748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78" name="Picture 77">
            <a:hlinkClick xmlns:r="http://schemas.openxmlformats.org/officeDocument/2006/relationships" r:id="rId15" tooltip="Oil and Refined Products"/>
            <a:extLst>
              <a:ext uri="{FF2B5EF4-FFF2-40B4-BE49-F238E27FC236}">
                <a16:creationId xmlns:a16="http://schemas.microsoft.com/office/drawing/2014/main" id="{E273E0A4-EB18-ABF0-001B-748BE414C34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79" name="Rectangle: Rounded Corners 78">
            <a:extLst>
              <a:ext uri="{FF2B5EF4-FFF2-40B4-BE49-F238E27FC236}">
                <a16:creationId xmlns:a16="http://schemas.microsoft.com/office/drawing/2014/main" id="{52DBECEE-1FFD-45D1-8ED9-2A086BA1FF51}"/>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80" name="Rectangle: Rounded Corners 79">
            <a:extLst>
              <a:ext uri="{FF2B5EF4-FFF2-40B4-BE49-F238E27FC236}">
                <a16:creationId xmlns:a16="http://schemas.microsoft.com/office/drawing/2014/main" id="{18E15137-7F2A-046B-9660-5BC22ACA1049}"/>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81" name="Picture 80">
            <a:hlinkClick xmlns:r="http://schemas.openxmlformats.org/officeDocument/2006/relationships" r:id="rId17" tooltip="Home"/>
            <a:extLst>
              <a:ext uri="{FF2B5EF4-FFF2-40B4-BE49-F238E27FC236}">
                <a16:creationId xmlns:a16="http://schemas.microsoft.com/office/drawing/2014/main" id="{401CADDD-6078-0C42-5913-2AA01019F21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82" name="Group 81">
            <a:extLst>
              <a:ext uri="{FF2B5EF4-FFF2-40B4-BE49-F238E27FC236}">
                <a16:creationId xmlns:a16="http://schemas.microsoft.com/office/drawing/2014/main" id="{79AFCE46-EC2D-D27A-5BAB-227A2803FB6F}"/>
              </a:ext>
            </a:extLst>
          </xdr:cNvPr>
          <xdr:cNvGrpSpPr/>
        </xdr:nvGrpSpPr>
        <xdr:grpSpPr>
          <a:xfrm>
            <a:off x="8739731" y="304801"/>
            <a:ext cx="779626" cy="652742"/>
            <a:chOff x="8739731" y="304801"/>
            <a:chExt cx="779626" cy="652742"/>
          </a:xfrm>
        </xdr:grpSpPr>
        <xdr:pic>
          <xdr:nvPicPr>
            <xdr:cNvPr id="99" name="Picture 98">
              <a:hlinkClick xmlns:r="http://schemas.openxmlformats.org/officeDocument/2006/relationships" r:id="rId19" tooltip="Gas &amp; LNG"/>
              <a:extLst>
                <a:ext uri="{FF2B5EF4-FFF2-40B4-BE49-F238E27FC236}">
                  <a16:creationId xmlns:a16="http://schemas.microsoft.com/office/drawing/2014/main" id="{66547364-8B0F-EC3E-805D-9B06FAC06EFB}"/>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100" name="TextBox 99">
              <a:extLst>
                <a:ext uri="{FF2B5EF4-FFF2-40B4-BE49-F238E27FC236}">
                  <a16:creationId xmlns:a16="http://schemas.microsoft.com/office/drawing/2014/main" id="{F3CB7E5B-CB7B-FA8F-D3E6-5FDACFA297DA}"/>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83" name="Group 82">
            <a:hlinkClick xmlns:r="http://schemas.openxmlformats.org/officeDocument/2006/relationships" r:id="rId21"/>
            <a:extLst>
              <a:ext uri="{FF2B5EF4-FFF2-40B4-BE49-F238E27FC236}">
                <a16:creationId xmlns:a16="http://schemas.microsoft.com/office/drawing/2014/main" id="{F9FD27EB-93EA-DBC6-EDB1-CBC52E1EB239}"/>
              </a:ext>
            </a:extLst>
          </xdr:cNvPr>
          <xdr:cNvGrpSpPr/>
        </xdr:nvGrpSpPr>
        <xdr:grpSpPr>
          <a:xfrm>
            <a:off x="7963288" y="399140"/>
            <a:ext cx="936684" cy="558403"/>
            <a:chOff x="7252446" y="427715"/>
            <a:chExt cx="932330" cy="558403"/>
          </a:xfrm>
        </xdr:grpSpPr>
        <xdr:pic>
          <xdr:nvPicPr>
            <xdr:cNvPr id="97" name="Picture 96">
              <a:extLst>
                <a:ext uri="{FF2B5EF4-FFF2-40B4-BE49-F238E27FC236}">
                  <a16:creationId xmlns:a16="http://schemas.microsoft.com/office/drawing/2014/main" id="{CCD6A58F-6BA9-0184-1000-5BBC5B5B75F3}"/>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98" name="TextBox 97">
              <a:extLst>
                <a:ext uri="{FF2B5EF4-FFF2-40B4-BE49-F238E27FC236}">
                  <a16:creationId xmlns:a16="http://schemas.microsoft.com/office/drawing/2014/main" id="{106C876B-3E8A-73E4-726D-33E3385B9F20}"/>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84" name="Group 83">
            <a:hlinkClick xmlns:r="http://schemas.openxmlformats.org/officeDocument/2006/relationships" r:id="rId23"/>
            <a:extLst>
              <a:ext uri="{FF2B5EF4-FFF2-40B4-BE49-F238E27FC236}">
                <a16:creationId xmlns:a16="http://schemas.microsoft.com/office/drawing/2014/main" id="{6EF14E54-D926-72E0-A693-352734B988C8}"/>
              </a:ext>
            </a:extLst>
          </xdr:cNvPr>
          <xdr:cNvGrpSpPr/>
        </xdr:nvGrpSpPr>
        <xdr:grpSpPr>
          <a:xfrm>
            <a:off x="10117854" y="449143"/>
            <a:ext cx="952892" cy="517367"/>
            <a:chOff x="9402658" y="477718"/>
            <a:chExt cx="952892" cy="517367"/>
          </a:xfrm>
        </xdr:grpSpPr>
        <xdr:pic>
          <xdr:nvPicPr>
            <xdr:cNvPr id="95" name="Picture 94">
              <a:extLst>
                <a:ext uri="{FF2B5EF4-FFF2-40B4-BE49-F238E27FC236}">
                  <a16:creationId xmlns:a16="http://schemas.microsoft.com/office/drawing/2014/main" id="{C81CA7D4-8FAE-3558-47DD-EB6E49E41611}"/>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96" name="TextBox 95">
              <a:extLst>
                <a:ext uri="{FF2B5EF4-FFF2-40B4-BE49-F238E27FC236}">
                  <a16:creationId xmlns:a16="http://schemas.microsoft.com/office/drawing/2014/main" id="{62273479-7CB8-BD43-53B6-C3C93DBC5B49}"/>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85" name="Group 84">
            <a:hlinkClick xmlns:r="http://schemas.openxmlformats.org/officeDocument/2006/relationships" r:id="rId25"/>
            <a:extLst>
              <a:ext uri="{FF2B5EF4-FFF2-40B4-BE49-F238E27FC236}">
                <a16:creationId xmlns:a16="http://schemas.microsoft.com/office/drawing/2014/main" id="{7B18AB2F-28BE-A296-1C5D-B319FDBDADF8}"/>
              </a:ext>
            </a:extLst>
          </xdr:cNvPr>
          <xdr:cNvGrpSpPr/>
        </xdr:nvGrpSpPr>
        <xdr:grpSpPr>
          <a:xfrm>
            <a:off x="9340366" y="249331"/>
            <a:ext cx="841559" cy="690282"/>
            <a:chOff x="8625170" y="277906"/>
            <a:chExt cx="841559" cy="690282"/>
          </a:xfrm>
        </xdr:grpSpPr>
        <xdr:pic>
          <xdr:nvPicPr>
            <xdr:cNvPr id="93" name="Picture 92">
              <a:extLst>
                <a:ext uri="{FF2B5EF4-FFF2-40B4-BE49-F238E27FC236}">
                  <a16:creationId xmlns:a16="http://schemas.microsoft.com/office/drawing/2014/main" id="{2EEB9580-40D2-2B8E-DF10-F6438C8A411E}"/>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94" name="TextBox 93">
              <a:extLst>
                <a:ext uri="{FF2B5EF4-FFF2-40B4-BE49-F238E27FC236}">
                  <a16:creationId xmlns:a16="http://schemas.microsoft.com/office/drawing/2014/main" id="{AF9C48D2-1286-F6A8-5476-01005EEF036C}"/>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86" name="Group 85">
            <a:hlinkClick xmlns:r="http://schemas.openxmlformats.org/officeDocument/2006/relationships" r:id="rId27"/>
            <a:extLst>
              <a:ext uri="{FF2B5EF4-FFF2-40B4-BE49-F238E27FC236}">
                <a16:creationId xmlns:a16="http://schemas.microsoft.com/office/drawing/2014/main" id="{BD084C0D-0F77-8689-93F8-79D3F0D10976}"/>
              </a:ext>
            </a:extLst>
          </xdr:cNvPr>
          <xdr:cNvGrpSpPr/>
        </xdr:nvGrpSpPr>
        <xdr:grpSpPr>
          <a:xfrm>
            <a:off x="10773597" y="215530"/>
            <a:ext cx="1425389" cy="957239"/>
            <a:chOff x="10094261" y="244105"/>
            <a:chExt cx="1425389" cy="957239"/>
          </a:xfrm>
        </xdr:grpSpPr>
        <xdr:pic>
          <xdr:nvPicPr>
            <xdr:cNvPr id="91" name="Picture 90">
              <a:extLst>
                <a:ext uri="{FF2B5EF4-FFF2-40B4-BE49-F238E27FC236}">
                  <a16:creationId xmlns:a16="http://schemas.microsoft.com/office/drawing/2014/main" id="{B51C7A2C-AEE1-9C5A-5518-C32837C4F569}"/>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92" name="TextBox 91">
              <a:extLst>
                <a:ext uri="{FF2B5EF4-FFF2-40B4-BE49-F238E27FC236}">
                  <a16:creationId xmlns:a16="http://schemas.microsoft.com/office/drawing/2014/main" id="{1B4A57DE-072E-83EA-CB65-7098E05367CC}"/>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87" name="Rectangle: Rounded Corners 86">
            <a:extLst>
              <a:ext uri="{FF2B5EF4-FFF2-40B4-BE49-F238E27FC236}">
                <a16:creationId xmlns:a16="http://schemas.microsoft.com/office/drawing/2014/main" id="{E69DC2B0-1145-D303-F2EB-62E04675604D}"/>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88" name="Group 87">
            <a:hlinkClick xmlns:r="http://schemas.openxmlformats.org/officeDocument/2006/relationships" r:id="rId29"/>
            <a:extLst>
              <a:ext uri="{FF2B5EF4-FFF2-40B4-BE49-F238E27FC236}">
                <a16:creationId xmlns:a16="http://schemas.microsoft.com/office/drawing/2014/main" id="{58C1F1A2-8C8D-90DA-6F46-9E789491DEB2}"/>
              </a:ext>
            </a:extLst>
          </xdr:cNvPr>
          <xdr:cNvGrpSpPr/>
        </xdr:nvGrpSpPr>
        <xdr:grpSpPr>
          <a:xfrm>
            <a:off x="1717819" y="429577"/>
            <a:ext cx="521114" cy="502920"/>
            <a:chOff x="1714500" y="434340"/>
            <a:chExt cx="521114" cy="502920"/>
          </a:xfrm>
        </xdr:grpSpPr>
        <xdr:pic>
          <xdr:nvPicPr>
            <xdr:cNvPr id="89" name="Picture 88">
              <a:extLst>
                <a:ext uri="{FF2B5EF4-FFF2-40B4-BE49-F238E27FC236}">
                  <a16:creationId xmlns:a16="http://schemas.microsoft.com/office/drawing/2014/main" id="{779C594B-5FDE-9A8C-8F45-AAFE0983F840}"/>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90" name="TextBox 89">
              <a:extLst>
                <a:ext uri="{FF2B5EF4-FFF2-40B4-BE49-F238E27FC236}">
                  <a16:creationId xmlns:a16="http://schemas.microsoft.com/office/drawing/2014/main" id="{B45414B4-CF60-E270-732E-508D2AE06E40}"/>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21137</xdr:colOff>
      <xdr:row>0</xdr:row>
      <xdr:rowOff>1190625</xdr:rowOff>
    </xdr:to>
    <xdr:grpSp>
      <xdr:nvGrpSpPr>
        <xdr:cNvPr id="67" name="Group 66">
          <a:extLst>
            <a:ext uri="{FF2B5EF4-FFF2-40B4-BE49-F238E27FC236}">
              <a16:creationId xmlns:a16="http://schemas.microsoft.com/office/drawing/2014/main" id="{A310CB93-75D5-44F8-A771-D001041129A0}"/>
            </a:ext>
          </a:extLst>
        </xdr:cNvPr>
        <xdr:cNvGrpSpPr/>
      </xdr:nvGrpSpPr>
      <xdr:grpSpPr>
        <a:xfrm>
          <a:off x="0" y="0"/>
          <a:ext cx="11822612" cy="1190625"/>
          <a:chOff x="0" y="0"/>
          <a:chExt cx="12198986" cy="1190625"/>
        </a:xfrm>
      </xdr:grpSpPr>
      <xdr:sp macro="" textlink="">
        <xdr:nvSpPr>
          <xdr:cNvPr id="68" name="TextBox 67">
            <a:extLst>
              <a:ext uri="{FF2B5EF4-FFF2-40B4-BE49-F238E27FC236}">
                <a16:creationId xmlns:a16="http://schemas.microsoft.com/office/drawing/2014/main" id="{B75DF122-2B8E-3EE6-E12F-644097958D4B}"/>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69" name="TextBox 68">
            <a:extLst>
              <a:ext uri="{FF2B5EF4-FFF2-40B4-BE49-F238E27FC236}">
                <a16:creationId xmlns:a16="http://schemas.microsoft.com/office/drawing/2014/main" id="{2DD68A11-51DB-5204-0B92-C062E1F1306B}"/>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70" name="TextBox 69">
            <a:extLst>
              <a:ext uri="{FF2B5EF4-FFF2-40B4-BE49-F238E27FC236}">
                <a16:creationId xmlns:a16="http://schemas.microsoft.com/office/drawing/2014/main" id="{8BA9D58A-71D1-4E6A-2854-1DABA314C393}"/>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71" name="Picture 70">
            <a:hlinkClick xmlns:r="http://schemas.openxmlformats.org/officeDocument/2006/relationships" r:id="rId1" tooltip="Education"/>
            <a:extLst>
              <a:ext uri="{FF2B5EF4-FFF2-40B4-BE49-F238E27FC236}">
                <a16:creationId xmlns:a16="http://schemas.microsoft.com/office/drawing/2014/main" id="{CF648E61-0CCA-F761-2A4D-D1B065C5AD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72" name="Picture 71">
            <a:hlinkClick xmlns:r="http://schemas.openxmlformats.org/officeDocument/2006/relationships" r:id="rId3" tooltip="Terms &amp; Conditions"/>
            <a:extLst>
              <a:ext uri="{FF2B5EF4-FFF2-40B4-BE49-F238E27FC236}">
                <a16:creationId xmlns:a16="http://schemas.microsoft.com/office/drawing/2014/main" id="{18C67341-E0CB-0CDB-3AD0-5E5D6BF3868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73" name="Picture 72">
            <a:hlinkClick xmlns:r="http://schemas.openxmlformats.org/officeDocument/2006/relationships" r:id="rId5" tooltip="User Guide"/>
            <a:extLst>
              <a:ext uri="{FF2B5EF4-FFF2-40B4-BE49-F238E27FC236}">
                <a16:creationId xmlns:a16="http://schemas.microsoft.com/office/drawing/2014/main" id="{7109C432-F386-0C59-4F59-2425DDC4DB6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74" name="Picture 73">
            <a:hlinkClick xmlns:r="http://schemas.openxmlformats.org/officeDocument/2006/relationships" r:id="rId7" tooltip="Dashboard"/>
            <a:extLst>
              <a:ext uri="{FF2B5EF4-FFF2-40B4-BE49-F238E27FC236}">
                <a16:creationId xmlns:a16="http://schemas.microsoft.com/office/drawing/2014/main" id="{9E6A3D27-E7A3-5170-6A03-640520C0878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75" name="Picture 74">
            <a:hlinkClick xmlns:r="http://schemas.openxmlformats.org/officeDocument/2006/relationships" r:id="rId9" tooltip="Factors"/>
            <a:extLst>
              <a:ext uri="{FF2B5EF4-FFF2-40B4-BE49-F238E27FC236}">
                <a16:creationId xmlns:a16="http://schemas.microsoft.com/office/drawing/2014/main" id="{1C2BDA6F-7BDB-9DC5-89B2-D925C8146CB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76" name="Picture 75">
            <a:hlinkClick xmlns:r="http://schemas.openxmlformats.org/officeDocument/2006/relationships" r:id="rId11" tooltip="Alternative Calculations"/>
            <a:extLst>
              <a:ext uri="{FF2B5EF4-FFF2-40B4-BE49-F238E27FC236}">
                <a16:creationId xmlns:a16="http://schemas.microsoft.com/office/drawing/2014/main" id="{5855215F-EB98-3ADE-4BBA-C33E5AAADC1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77" name="Picture 76">
            <a:hlinkClick xmlns:r="http://schemas.openxmlformats.org/officeDocument/2006/relationships" r:id="rId13" tooltip="Abbreviations"/>
            <a:extLst>
              <a:ext uri="{FF2B5EF4-FFF2-40B4-BE49-F238E27FC236}">
                <a16:creationId xmlns:a16="http://schemas.microsoft.com/office/drawing/2014/main" id="{6D81F0EE-2A09-81BC-A510-497288662EC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78" name="Picture 77">
            <a:hlinkClick xmlns:r="http://schemas.openxmlformats.org/officeDocument/2006/relationships" r:id="rId15" tooltip="Oil and Refined Products"/>
            <a:extLst>
              <a:ext uri="{FF2B5EF4-FFF2-40B4-BE49-F238E27FC236}">
                <a16:creationId xmlns:a16="http://schemas.microsoft.com/office/drawing/2014/main" id="{9EB30942-F42A-0713-E0A2-C939171B421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79" name="Rectangle: Rounded Corners 78">
            <a:extLst>
              <a:ext uri="{FF2B5EF4-FFF2-40B4-BE49-F238E27FC236}">
                <a16:creationId xmlns:a16="http://schemas.microsoft.com/office/drawing/2014/main" id="{FBE9A9D1-76BA-714E-D1AD-C7531B7FA702}"/>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80" name="Rectangle: Rounded Corners 79">
            <a:extLst>
              <a:ext uri="{FF2B5EF4-FFF2-40B4-BE49-F238E27FC236}">
                <a16:creationId xmlns:a16="http://schemas.microsoft.com/office/drawing/2014/main" id="{6F9C96B1-8E04-4E09-3F91-EA72DCAA566B}"/>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81" name="Picture 80">
            <a:hlinkClick xmlns:r="http://schemas.openxmlformats.org/officeDocument/2006/relationships" r:id="rId17" tooltip="Home"/>
            <a:extLst>
              <a:ext uri="{FF2B5EF4-FFF2-40B4-BE49-F238E27FC236}">
                <a16:creationId xmlns:a16="http://schemas.microsoft.com/office/drawing/2014/main" id="{602CD327-4C95-1BA8-406C-B6B87014F79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82" name="Group 81">
            <a:extLst>
              <a:ext uri="{FF2B5EF4-FFF2-40B4-BE49-F238E27FC236}">
                <a16:creationId xmlns:a16="http://schemas.microsoft.com/office/drawing/2014/main" id="{CDA2B315-8FB1-8C03-A3F4-F970FAB2C935}"/>
              </a:ext>
            </a:extLst>
          </xdr:cNvPr>
          <xdr:cNvGrpSpPr/>
        </xdr:nvGrpSpPr>
        <xdr:grpSpPr>
          <a:xfrm>
            <a:off x="8739731" y="304801"/>
            <a:ext cx="779626" cy="652742"/>
            <a:chOff x="8739731" y="304801"/>
            <a:chExt cx="779626" cy="652742"/>
          </a:xfrm>
        </xdr:grpSpPr>
        <xdr:pic>
          <xdr:nvPicPr>
            <xdr:cNvPr id="99" name="Picture 98">
              <a:hlinkClick xmlns:r="http://schemas.openxmlformats.org/officeDocument/2006/relationships" r:id="rId19" tooltip="Gas &amp; LNG"/>
              <a:extLst>
                <a:ext uri="{FF2B5EF4-FFF2-40B4-BE49-F238E27FC236}">
                  <a16:creationId xmlns:a16="http://schemas.microsoft.com/office/drawing/2014/main" id="{15A70E1E-3D60-83F1-C3AB-2A4855F0C19A}"/>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100" name="TextBox 99">
              <a:extLst>
                <a:ext uri="{FF2B5EF4-FFF2-40B4-BE49-F238E27FC236}">
                  <a16:creationId xmlns:a16="http://schemas.microsoft.com/office/drawing/2014/main" id="{08A24959-360F-3BE3-9C30-9B384E108743}"/>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83" name="Group 82">
            <a:hlinkClick xmlns:r="http://schemas.openxmlformats.org/officeDocument/2006/relationships" r:id="rId21"/>
            <a:extLst>
              <a:ext uri="{FF2B5EF4-FFF2-40B4-BE49-F238E27FC236}">
                <a16:creationId xmlns:a16="http://schemas.microsoft.com/office/drawing/2014/main" id="{C2BF71D6-C349-AFD3-A175-E935228DD044}"/>
              </a:ext>
            </a:extLst>
          </xdr:cNvPr>
          <xdr:cNvGrpSpPr/>
        </xdr:nvGrpSpPr>
        <xdr:grpSpPr>
          <a:xfrm>
            <a:off x="7963288" y="399140"/>
            <a:ext cx="936684" cy="558403"/>
            <a:chOff x="7252446" y="427715"/>
            <a:chExt cx="932330" cy="558403"/>
          </a:xfrm>
        </xdr:grpSpPr>
        <xdr:pic>
          <xdr:nvPicPr>
            <xdr:cNvPr id="97" name="Picture 96">
              <a:extLst>
                <a:ext uri="{FF2B5EF4-FFF2-40B4-BE49-F238E27FC236}">
                  <a16:creationId xmlns:a16="http://schemas.microsoft.com/office/drawing/2014/main" id="{76A6D4FC-1749-AACC-C632-573B5BC827B9}"/>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98" name="TextBox 97">
              <a:extLst>
                <a:ext uri="{FF2B5EF4-FFF2-40B4-BE49-F238E27FC236}">
                  <a16:creationId xmlns:a16="http://schemas.microsoft.com/office/drawing/2014/main" id="{A71FBDDE-10AF-3C71-6917-101090EFA444}"/>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84" name="Group 83">
            <a:hlinkClick xmlns:r="http://schemas.openxmlformats.org/officeDocument/2006/relationships" r:id="rId23"/>
            <a:extLst>
              <a:ext uri="{FF2B5EF4-FFF2-40B4-BE49-F238E27FC236}">
                <a16:creationId xmlns:a16="http://schemas.microsoft.com/office/drawing/2014/main" id="{A0348B9F-81A1-2F7D-8FE4-8940578BB11F}"/>
              </a:ext>
            </a:extLst>
          </xdr:cNvPr>
          <xdr:cNvGrpSpPr/>
        </xdr:nvGrpSpPr>
        <xdr:grpSpPr>
          <a:xfrm>
            <a:off x="10117854" y="449143"/>
            <a:ext cx="952892" cy="517367"/>
            <a:chOff x="9402658" y="477718"/>
            <a:chExt cx="952892" cy="517367"/>
          </a:xfrm>
        </xdr:grpSpPr>
        <xdr:pic>
          <xdr:nvPicPr>
            <xdr:cNvPr id="95" name="Picture 94">
              <a:extLst>
                <a:ext uri="{FF2B5EF4-FFF2-40B4-BE49-F238E27FC236}">
                  <a16:creationId xmlns:a16="http://schemas.microsoft.com/office/drawing/2014/main" id="{ED3DEF7E-56AF-6556-6F87-E188315B55D9}"/>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96" name="TextBox 95">
              <a:extLst>
                <a:ext uri="{FF2B5EF4-FFF2-40B4-BE49-F238E27FC236}">
                  <a16:creationId xmlns:a16="http://schemas.microsoft.com/office/drawing/2014/main" id="{78DE5414-99A2-A718-A0A7-43AFB66A910C}"/>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85" name="Group 84">
            <a:hlinkClick xmlns:r="http://schemas.openxmlformats.org/officeDocument/2006/relationships" r:id="rId25"/>
            <a:extLst>
              <a:ext uri="{FF2B5EF4-FFF2-40B4-BE49-F238E27FC236}">
                <a16:creationId xmlns:a16="http://schemas.microsoft.com/office/drawing/2014/main" id="{C0453825-5C14-C78B-826E-84A4026D7856}"/>
              </a:ext>
            </a:extLst>
          </xdr:cNvPr>
          <xdr:cNvGrpSpPr/>
        </xdr:nvGrpSpPr>
        <xdr:grpSpPr>
          <a:xfrm>
            <a:off x="9340366" y="249331"/>
            <a:ext cx="841559" cy="690282"/>
            <a:chOff x="8625170" y="277906"/>
            <a:chExt cx="841559" cy="690282"/>
          </a:xfrm>
        </xdr:grpSpPr>
        <xdr:pic>
          <xdr:nvPicPr>
            <xdr:cNvPr id="93" name="Picture 92">
              <a:extLst>
                <a:ext uri="{FF2B5EF4-FFF2-40B4-BE49-F238E27FC236}">
                  <a16:creationId xmlns:a16="http://schemas.microsoft.com/office/drawing/2014/main" id="{27A2B908-039E-65B9-5B12-F83955FD4433}"/>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94" name="TextBox 93">
              <a:extLst>
                <a:ext uri="{FF2B5EF4-FFF2-40B4-BE49-F238E27FC236}">
                  <a16:creationId xmlns:a16="http://schemas.microsoft.com/office/drawing/2014/main" id="{07A1F37A-132D-0B81-7B57-413E179A4013}"/>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86" name="Group 85">
            <a:hlinkClick xmlns:r="http://schemas.openxmlformats.org/officeDocument/2006/relationships" r:id="rId27"/>
            <a:extLst>
              <a:ext uri="{FF2B5EF4-FFF2-40B4-BE49-F238E27FC236}">
                <a16:creationId xmlns:a16="http://schemas.microsoft.com/office/drawing/2014/main" id="{80B430AC-2C1A-9696-7E20-3B5599F9D005}"/>
              </a:ext>
            </a:extLst>
          </xdr:cNvPr>
          <xdr:cNvGrpSpPr/>
        </xdr:nvGrpSpPr>
        <xdr:grpSpPr>
          <a:xfrm>
            <a:off x="10773597" y="215530"/>
            <a:ext cx="1425389" cy="957239"/>
            <a:chOff x="10094261" y="244105"/>
            <a:chExt cx="1425389" cy="957239"/>
          </a:xfrm>
        </xdr:grpSpPr>
        <xdr:pic>
          <xdr:nvPicPr>
            <xdr:cNvPr id="91" name="Picture 90">
              <a:extLst>
                <a:ext uri="{FF2B5EF4-FFF2-40B4-BE49-F238E27FC236}">
                  <a16:creationId xmlns:a16="http://schemas.microsoft.com/office/drawing/2014/main" id="{EB97AABA-B68B-91C2-BF08-38CC1101F639}"/>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92" name="TextBox 91">
              <a:extLst>
                <a:ext uri="{FF2B5EF4-FFF2-40B4-BE49-F238E27FC236}">
                  <a16:creationId xmlns:a16="http://schemas.microsoft.com/office/drawing/2014/main" id="{9085D5B6-29AF-87C1-27CA-15C371D8AF6D}"/>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87" name="Rectangle: Rounded Corners 86">
            <a:extLst>
              <a:ext uri="{FF2B5EF4-FFF2-40B4-BE49-F238E27FC236}">
                <a16:creationId xmlns:a16="http://schemas.microsoft.com/office/drawing/2014/main" id="{3945EB7E-964C-081F-8D67-2224218C1F8A}"/>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88" name="Group 87">
            <a:hlinkClick xmlns:r="http://schemas.openxmlformats.org/officeDocument/2006/relationships" r:id="rId29"/>
            <a:extLst>
              <a:ext uri="{FF2B5EF4-FFF2-40B4-BE49-F238E27FC236}">
                <a16:creationId xmlns:a16="http://schemas.microsoft.com/office/drawing/2014/main" id="{D47DE7D7-507F-FFCA-B5BA-81EE8C4C07C9}"/>
              </a:ext>
            </a:extLst>
          </xdr:cNvPr>
          <xdr:cNvGrpSpPr/>
        </xdr:nvGrpSpPr>
        <xdr:grpSpPr>
          <a:xfrm>
            <a:off x="1717819" y="429577"/>
            <a:ext cx="521114" cy="502920"/>
            <a:chOff x="1714500" y="434340"/>
            <a:chExt cx="521114" cy="502920"/>
          </a:xfrm>
        </xdr:grpSpPr>
        <xdr:pic>
          <xdr:nvPicPr>
            <xdr:cNvPr id="89" name="Picture 88">
              <a:extLst>
                <a:ext uri="{FF2B5EF4-FFF2-40B4-BE49-F238E27FC236}">
                  <a16:creationId xmlns:a16="http://schemas.microsoft.com/office/drawing/2014/main" id="{76DB3180-4C40-5ED7-90B6-FCE323192926}"/>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90" name="TextBox 89">
              <a:extLst>
                <a:ext uri="{FF2B5EF4-FFF2-40B4-BE49-F238E27FC236}">
                  <a16:creationId xmlns:a16="http://schemas.microsoft.com/office/drawing/2014/main" id="{5B936F54-9FB1-285E-33AF-D6BC41117568}"/>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336823</xdr:colOff>
      <xdr:row>0</xdr:row>
      <xdr:rowOff>1190625</xdr:rowOff>
    </xdr:to>
    <xdr:grpSp>
      <xdr:nvGrpSpPr>
        <xdr:cNvPr id="67" name="Group 66">
          <a:extLst>
            <a:ext uri="{FF2B5EF4-FFF2-40B4-BE49-F238E27FC236}">
              <a16:creationId xmlns:a16="http://schemas.microsoft.com/office/drawing/2014/main" id="{D03B1C44-1BA3-4541-90DC-0898461262FF}"/>
            </a:ext>
          </a:extLst>
        </xdr:cNvPr>
        <xdr:cNvGrpSpPr/>
      </xdr:nvGrpSpPr>
      <xdr:grpSpPr>
        <a:xfrm>
          <a:off x="0" y="0"/>
          <a:ext cx="11871598" cy="1190625"/>
          <a:chOff x="0" y="0"/>
          <a:chExt cx="12198986" cy="1190625"/>
        </a:xfrm>
      </xdr:grpSpPr>
      <xdr:sp macro="" textlink="">
        <xdr:nvSpPr>
          <xdr:cNvPr id="68" name="TextBox 67">
            <a:extLst>
              <a:ext uri="{FF2B5EF4-FFF2-40B4-BE49-F238E27FC236}">
                <a16:creationId xmlns:a16="http://schemas.microsoft.com/office/drawing/2014/main" id="{6B8A86FA-F5DB-AF0A-C495-2C32A3BFA490}"/>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69" name="TextBox 68">
            <a:extLst>
              <a:ext uri="{FF2B5EF4-FFF2-40B4-BE49-F238E27FC236}">
                <a16:creationId xmlns:a16="http://schemas.microsoft.com/office/drawing/2014/main" id="{FFC63415-4D70-7236-D292-AEDA36C45388}"/>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70" name="TextBox 69">
            <a:extLst>
              <a:ext uri="{FF2B5EF4-FFF2-40B4-BE49-F238E27FC236}">
                <a16:creationId xmlns:a16="http://schemas.microsoft.com/office/drawing/2014/main" id="{4BF6B932-636A-C581-6158-27FAAAB883C0}"/>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71" name="Picture 70">
            <a:hlinkClick xmlns:r="http://schemas.openxmlformats.org/officeDocument/2006/relationships" r:id="rId1" tooltip="Education"/>
            <a:extLst>
              <a:ext uri="{FF2B5EF4-FFF2-40B4-BE49-F238E27FC236}">
                <a16:creationId xmlns:a16="http://schemas.microsoft.com/office/drawing/2014/main" id="{5D362219-B243-2982-EC13-4C422EA44D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72" name="Picture 71">
            <a:hlinkClick xmlns:r="http://schemas.openxmlformats.org/officeDocument/2006/relationships" r:id="rId3" tooltip="Terms &amp; Conditions"/>
            <a:extLst>
              <a:ext uri="{FF2B5EF4-FFF2-40B4-BE49-F238E27FC236}">
                <a16:creationId xmlns:a16="http://schemas.microsoft.com/office/drawing/2014/main" id="{CDF140F6-62D4-3035-8297-7E010448532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73" name="Picture 72">
            <a:hlinkClick xmlns:r="http://schemas.openxmlformats.org/officeDocument/2006/relationships" r:id="rId5" tooltip="User Guide"/>
            <a:extLst>
              <a:ext uri="{FF2B5EF4-FFF2-40B4-BE49-F238E27FC236}">
                <a16:creationId xmlns:a16="http://schemas.microsoft.com/office/drawing/2014/main" id="{8C7B6C52-3880-7E64-88C5-7A62C02D25F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74" name="Picture 73">
            <a:hlinkClick xmlns:r="http://schemas.openxmlformats.org/officeDocument/2006/relationships" r:id="rId7" tooltip="Dashboard"/>
            <a:extLst>
              <a:ext uri="{FF2B5EF4-FFF2-40B4-BE49-F238E27FC236}">
                <a16:creationId xmlns:a16="http://schemas.microsoft.com/office/drawing/2014/main" id="{6FF091CB-5FDE-8125-4069-9E398203C31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75" name="Picture 74">
            <a:hlinkClick xmlns:r="http://schemas.openxmlformats.org/officeDocument/2006/relationships" r:id="rId9" tooltip="Factors"/>
            <a:extLst>
              <a:ext uri="{FF2B5EF4-FFF2-40B4-BE49-F238E27FC236}">
                <a16:creationId xmlns:a16="http://schemas.microsoft.com/office/drawing/2014/main" id="{DEF33AFA-708A-11AB-C986-EBCEDE38ED4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76" name="Picture 75">
            <a:hlinkClick xmlns:r="http://schemas.openxmlformats.org/officeDocument/2006/relationships" r:id="rId11" tooltip="Alternative Calculations"/>
            <a:extLst>
              <a:ext uri="{FF2B5EF4-FFF2-40B4-BE49-F238E27FC236}">
                <a16:creationId xmlns:a16="http://schemas.microsoft.com/office/drawing/2014/main" id="{5738B0DA-3D0A-FCC1-8099-F72D95CBE17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77" name="Picture 76">
            <a:hlinkClick xmlns:r="http://schemas.openxmlformats.org/officeDocument/2006/relationships" r:id="rId13" tooltip="Abbreviations"/>
            <a:extLst>
              <a:ext uri="{FF2B5EF4-FFF2-40B4-BE49-F238E27FC236}">
                <a16:creationId xmlns:a16="http://schemas.microsoft.com/office/drawing/2014/main" id="{55A7221F-E7EE-1C28-EDF9-7637E78A713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78" name="Picture 77">
            <a:hlinkClick xmlns:r="http://schemas.openxmlformats.org/officeDocument/2006/relationships" r:id="rId15" tooltip="Oil and Refined Products"/>
            <a:extLst>
              <a:ext uri="{FF2B5EF4-FFF2-40B4-BE49-F238E27FC236}">
                <a16:creationId xmlns:a16="http://schemas.microsoft.com/office/drawing/2014/main" id="{2ED7143E-CBBC-A1BF-D6F4-971ED0332E0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79" name="Rectangle: Rounded Corners 78">
            <a:extLst>
              <a:ext uri="{FF2B5EF4-FFF2-40B4-BE49-F238E27FC236}">
                <a16:creationId xmlns:a16="http://schemas.microsoft.com/office/drawing/2014/main" id="{7CD2EF9D-BAC7-219B-48DB-5A5A9F564A16}"/>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80" name="Rectangle: Rounded Corners 79">
            <a:extLst>
              <a:ext uri="{FF2B5EF4-FFF2-40B4-BE49-F238E27FC236}">
                <a16:creationId xmlns:a16="http://schemas.microsoft.com/office/drawing/2014/main" id="{1AF4B38C-577D-8FE6-15C5-C4F980534700}"/>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81" name="Picture 80">
            <a:hlinkClick xmlns:r="http://schemas.openxmlformats.org/officeDocument/2006/relationships" r:id="rId17" tooltip="Home"/>
            <a:extLst>
              <a:ext uri="{FF2B5EF4-FFF2-40B4-BE49-F238E27FC236}">
                <a16:creationId xmlns:a16="http://schemas.microsoft.com/office/drawing/2014/main" id="{2AAE70F0-4CF8-9A25-6326-BC18C83B735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82" name="Group 81">
            <a:extLst>
              <a:ext uri="{FF2B5EF4-FFF2-40B4-BE49-F238E27FC236}">
                <a16:creationId xmlns:a16="http://schemas.microsoft.com/office/drawing/2014/main" id="{FF53F216-6418-FB2A-4F87-663429068D09}"/>
              </a:ext>
            </a:extLst>
          </xdr:cNvPr>
          <xdr:cNvGrpSpPr/>
        </xdr:nvGrpSpPr>
        <xdr:grpSpPr>
          <a:xfrm>
            <a:off x="8739731" y="304801"/>
            <a:ext cx="779626" cy="652742"/>
            <a:chOff x="8739731" y="304801"/>
            <a:chExt cx="779626" cy="652742"/>
          </a:xfrm>
        </xdr:grpSpPr>
        <xdr:pic>
          <xdr:nvPicPr>
            <xdr:cNvPr id="99" name="Picture 98">
              <a:hlinkClick xmlns:r="http://schemas.openxmlformats.org/officeDocument/2006/relationships" r:id="rId19" tooltip="Gas &amp; LNG"/>
              <a:extLst>
                <a:ext uri="{FF2B5EF4-FFF2-40B4-BE49-F238E27FC236}">
                  <a16:creationId xmlns:a16="http://schemas.microsoft.com/office/drawing/2014/main" id="{58A3E165-0A01-775C-EA77-8EE3DAE82422}"/>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100" name="TextBox 99">
              <a:extLst>
                <a:ext uri="{FF2B5EF4-FFF2-40B4-BE49-F238E27FC236}">
                  <a16:creationId xmlns:a16="http://schemas.microsoft.com/office/drawing/2014/main" id="{BF18659B-9ABD-CF38-9841-F0C31A8E7DCF}"/>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83" name="Group 82">
            <a:hlinkClick xmlns:r="http://schemas.openxmlformats.org/officeDocument/2006/relationships" r:id="rId21"/>
            <a:extLst>
              <a:ext uri="{FF2B5EF4-FFF2-40B4-BE49-F238E27FC236}">
                <a16:creationId xmlns:a16="http://schemas.microsoft.com/office/drawing/2014/main" id="{4D9AAB8E-FE47-F8AA-42FF-354F44BF7D08}"/>
              </a:ext>
            </a:extLst>
          </xdr:cNvPr>
          <xdr:cNvGrpSpPr/>
        </xdr:nvGrpSpPr>
        <xdr:grpSpPr>
          <a:xfrm>
            <a:off x="7963288" y="399140"/>
            <a:ext cx="936684" cy="558403"/>
            <a:chOff x="7252446" y="427715"/>
            <a:chExt cx="932330" cy="558403"/>
          </a:xfrm>
        </xdr:grpSpPr>
        <xdr:pic>
          <xdr:nvPicPr>
            <xdr:cNvPr id="97" name="Picture 96">
              <a:extLst>
                <a:ext uri="{FF2B5EF4-FFF2-40B4-BE49-F238E27FC236}">
                  <a16:creationId xmlns:a16="http://schemas.microsoft.com/office/drawing/2014/main" id="{86A8BC2C-90AE-705E-8062-13FFECE2217A}"/>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98" name="TextBox 97">
              <a:extLst>
                <a:ext uri="{FF2B5EF4-FFF2-40B4-BE49-F238E27FC236}">
                  <a16:creationId xmlns:a16="http://schemas.microsoft.com/office/drawing/2014/main" id="{34DDA949-5980-21BD-AA8E-52F8A2CAA1BD}"/>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84" name="Group 83">
            <a:hlinkClick xmlns:r="http://schemas.openxmlformats.org/officeDocument/2006/relationships" r:id="rId23"/>
            <a:extLst>
              <a:ext uri="{FF2B5EF4-FFF2-40B4-BE49-F238E27FC236}">
                <a16:creationId xmlns:a16="http://schemas.microsoft.com/office/drawing/2014/main" id="{C68BBBE9-5147-5185-540F-BAB8761244C6}"/>
              </a:ext>
            </a:extLst>
          </xdr:cNvPr>
          <xdr:cNvGrpSpPr/>
        </xdr:nvGrpSpPr>
        <xdr:grpSpPr>
          <a:xfrm>
            <a:off x="10117854" y="449143"/>
            <a:ext cx="952892" cy="517367"/>
            <a:chOff x="9402658" y="477718"/>
            <a:chExt cx="952892" cy="517367"/>
          </a:xfrm>
        </xdr:grpSpPr>
        <xdr:pic>
          <xdr:nvPicPr>
            <xdr:cNvPr id="95" name="Picture 94">
              <a:extLst>
                <a:ext uri="{FF2B5EF4-FFF2-40B4-BE49-F238E27FC236}">
                  <a16:creationId xmlns:a16="http://schemas.microsoft.com/office/drawing/2014/main" id="{28C2AD3E-9229-26BA-4D74-0925ED850891}"/>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96" name="TextBox 95">
              <a:extLst>
                <a:ext uri="{FF2B5EF4-FFF2-40B4-BE49-F238E27FC236}">
                  <a16:creationId xmlns:a16="http://schemas.microsoft.com/office/drawing/2014/main" id="{079BC6A5-79AA-54F2-4B1B-601588E6FD63}"/>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85" name="Group 84">
            <a:hlinkClick xmlns:r="http://schemas.openxmlformats.org/officeDocument/2006/relationships" r:id="rId25"/>
            <a:extLst>
              <a:ext uri="{FF2B5EF4-FFF2-40B4-BE49-F238E27FC236}">
                <a16:creationId xmlns:a16="http://schemas.microsoft.com/office/drawing/2014/main" id="{6B3450C2-7069-2750-E1B7-E05421DCB283}"/>
              </a:ext>
            </a:extLst>
          </xdr:cNvPr>
          <xdr:cNvGrpSpPr/>
        </xdr:nvGrpSpPr>
        <xdr:grpSpPr>
          <a:xfrm>
            <a:off x="9340366" y="249331"/>
            <a:ext cx="841559" cy="690282"/>
            <a:chOff x="8625170" y="277906"/>
            <a:chExt cx="841559" cy="690282"/>
          </a:xfrm>
        </xdr:grpSpPr>
        <xdr:pic>
          <xdr:nvPicPr>
            <xdr:cNvPr id="93" name="Picture 92">
              <a:extLst>
                <a:ext uri="{FF2B5EF4-FFF2-40B4-BE49-F238E27FC236}">
                  <a16:creationId xmlns:a16="http://schemas.microsoft.com/office/drawing/2014/main" id="{4E0F6BA8-5DE9-8DC3-9524-4E4120E703B6}"/>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94" name="TextBox 93">
              <a:extLst>
                <a:ext uri="{FF2B5EF4-FFF2-40B4-BE49-F238E27FC236}">
                  <a16:creationId xmlns:a16="http://schemas.microsoft.com/office/drawing/2014/main" id="{33B5F61F-DA8E-3A37-228A-6A41FD9519A8}"/>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86" name="Group 85">
            <a:hlinkClick xmlns:r="http://schemas.openxmlformats.org/officeDocument/2006/relationships" r:id="rId27"/>
            <a:extLst>
              <a:ext uri="{FF2B5EF4-FFF2-40B4-BE49-F238E27FC236}">
                <a16:creationId xmlns:a16="http://schemas.microsoft.com/office/drawing/2014/main" id="{E66C7201-DE6C-F30B-D82C-DE8518A19E60}"/>
              </a:ext>
            </a:extLst>
          </xdr:cNvPr>
          <xdr:cNvGrpSpPr/>
        </xdr:nvGrpSpPr>
        <xdr:grpSpPr>
          <a:xfrm>
            <a:off x="10773597" y="215530"/>
            <a:ext cx="1425389" cy="957239"/>
            <a:chOff x="10094261" y="244105"/>
            <a:chExt cx="1425389" cy="957239"/>
          </a:xfrm>
        </xdr:grpSpPr>
        <xdr:pic>
          <xdr:nvPicPr>
            <xdr:cNvPr id="91" name="Picture 90">
              <a:extLst>
                <a:ext uri="{FF2B5EF4-FFF2-40B4-BE49-F238E27FC236}">
                  <a16:creationId xmlns:a16="http://schemas.microsoft.com/office/drawing/2014/main" id="{77F877B4-3670-5370-B214-B2966243D24F}"/>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92" name="TextBox 91">
              <a:extLst>
                <a:ext uri="{FF2B5EF4-FFF2-40B4-BE49-F238E27FC236}">
                  <a16:creationId xmlns:a16="http://schemas.microsoft.com/office/drawing/2014/main" id="{F3A32851-EF3B-6B16-E27F-1D528CA7913E}"/>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87" name="Rectangle: Rounded Corners 86">
            <a:extLst>
              <a:ext uri="{FF2B5EF4-FFF2-40B4-BE49-F238E27FC236}">
                <a16:creationId xmlns:a16="http://schemas.microsoft.com/office/drawing/2014/main" id="{F95A44B1-952D-A74C-0351-88242D94EB75}"/>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88" name="Group 87">
            <a:hlinkClick xmlns:r="http://schemas.openxmlformats.org/officeDocument/2006/relationships" r:id="rId29"/>
            <a:extLst>
              <a:ext uri="{FF2B5EF4-FFF2-40B4-BE49-F238E27FC236}">
                <a16:creationId xmlns:a16="http://schemas.microsoft.com/office/drawing/2014/main" id="{DD35DD97-0E38-BBC3-DE02-2D4CD59AC8F0}"/>
              </a:ext>
            </a:extLst>
          </xdr:cNvPr>
          <xdr:cNvGrpSpPr/>
        </xdr:nvGrpSpPr>
        <xdr:grpSpPr>
          <a:xfrm>
            <a:off x="1717819" y="429577"/>
            <a:ext cx="521114" cy="502920"/>
            <a:chOff x="1714500" y="434340"/>
            <a:chExt cx="521114" cy="502920"/>
          </a:xfrm>
        </xdr:grpSpPr>
        <xdr:pic>
          <xdr:nvPicPr>
            <xdr:cNvPr id="89" name="Picture 88">
              <a:extLst>
                <a:ext uri="{FF2B5EF4-FFF2-40B4-BE49-F238E27FC236}">
                  <a16:creationId xmlns:a16="http://schemas.microsoft.com/office/drawing/2014/main" id="{F7C3A9DC-1DE0-BCF2-711F-B3ADAEBDD50A}"/>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90" name="TextBox 89">
              <a:extLst>
                <a:ext uri="{FF2B5EF4-FFF2-40B4-BE49-F238E27FC236}">
                  <a16:creationId xmlns:a16="http://schemas.microsoft.com/office/drawing/2014/main" id="{9ED12950-194A-0D32-89F7-FCAED40DB41F}"/>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1096495</xdr:colOff>
      <xdr:row>7</xdr:row>
      <xdr:rowOff>196801</xdr:rowOff>
    </xdr:from>
    <xdr:to>
      <xdr:col>19</xdr:col>
      <xdr:colOff>303119</xdr:colOff>
      <xdr:row>23</xdr:row>
      <xdr:rowOff>125365</xdr:rowOff>
    </xdr:to>
    <xdr:graphicFrame macro="">
      <xdr:nvGraphicFramePr>
        <xdr:cNvPr id="25617" name="Chart 1">
          <a:extLst>
            <a:ext uri="{FF2B5EF4-FFF2-40B4-BE49-F238E27FC236}">
              <a16:creationId xmlns:a16="http://schemas.microsoft.com/office/drawing/2014/main" id="{00000000-0008-0000-0600-0000116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7</xdr:row>
      <xdr:rowOff>159543</xdr:rowOff>
    </xdr:from>
    <xdr:to>
      <xdr:col>19</xdr:col>
      <xdr:colOff>123825</xdr:colOff>
      <xdr:row>19</xdr:row>
      <xdr:rowOff>209549</xdr:rowOff>
    </xdr:to>
    <xdr:graphicFrame macro="">
      <xdr:nvGraphicFramePr>
        <xdr:cNvPr id="25618" name="Chart 2">
          <a:extLst>
            <a:ext uri="{FF2B5EF4-FFF2-40B4-BE49-F238E27FC236}">
              <a16:creationId xmlns:a16="http://schemas.microsoft.com/office/drawing/2014/main" id="{00000000-0008-0000-0600-000012640000}"/>
            </a:ext>
            <a:ext uri="{147F2762-F138-4A5C-976F-8EAC2B608ADB}">
              <a16:predDERef xmlns:a16="http://schemas.microsoft.com/office/drawing/2014/main" pre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552451</xdr:colOff>
      <xdr:row>6</xdr:row>
      <xdr:rowOff>12700</xdr:rowOff>
    </xdr:from>
    <xdr:to>
      <xdr:col>6</xdr:col>
      <xdr:colOff>25400</xdr:colOff>
      <xdr:row>40</xdr:row>
      <xdr:rowOff>9525</xdr:rowOff>
    </xdr:to>
    <xdr:sp macro="" textlink="">
      <xdr:nvSpPr>
        <xdr:cNvPr id="25608" name="Rectangle: Rounded Corners 6">
          <a:extLst>
            <a:ext uri="{FF2B5EF4-FFF2-40B4-BE49-F238E27FC236}">
              <a16:creationId xmlns:a16="http://schemas.microsoft.com/office/drawing/2014/main" id="{00000000-0008-0000-0600-000008640000}"/>
            </a:ext>
          </a:extLst>
        </xdr:cNvPr>
        <xdr:cNvSpPr/>
      </xdr:nvSpPr>
      <xdr:spPr>
        <a:xfrm>
          <a:off x="552451" y="1811020"/>
          <a:ext cx="5629909" cy="7517765"/>
        </a:xfrm>
        <a:prstGeom prst="roundRect">
          <a:avLst>
            <a:gd name="adj" fmla="val 1461"/>
          </a:avLst>
        </a:prstGeom>
        <a:noFill/>
        <a:ln w="73025">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3588452</xdr:colOff>
      <xdr:row>6</xdr:row>
      <xdr:rowOff>393700</xdr:rowOff>
    </xdr:from>
    <xdr:to>
      <xdr:col>3</xdr:col>
      <xdr:colOff>22886</xdr:colOff>
      <xdr:row>40</xdr:row>
      <xdr:rowOff>9525</xdr:rowOff>
    </xdr:to>
    <xdr:sp macro="" textlink="">
      <xdr:nvSpPr>
        <xdr:cNvPr id="25612" name="Rectangle: Rounded Corners 7">
          <a:extLst>
            <a:ext uri="{FF2B5EF4-FFF2-40B4-BE49-F238E27FC236}">
              <a16:creationId xmlns:a16="http://schemas.microsoft.com/office/drawing/2014/main" id="{00000000-0008-0000-0600-00000C640000}"/>
            </a:ext>
          </a:extLst>
        </xdr:cNvPr>
        <xdr:cNvSpPr/>
      </xdr:nvSpPr>
      <xdr:spPr>
        <a:xfrm>
          <a:off x="4165395" y="2178957"/>
          <a:ext cx="984662" cy="7409997"/>
        </a:xfrm>
        <a:prstGeom prst="roundRect">
          <a:avLst>
            <a:gd name="adj" fmla="val 6589"/>
          </a:avLst>
        </a:prstGeom>
        <a:noFill/>
        <a:ln w="79375">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380999</xdr:colOff>
      <xdr:row>24</xdr:row>
      <xdr:rowOff>57150</xdr:rowOff>
    </xdr:from>
    <xdr:to>
      <xdr:col>16</xdr:col>
      <xdr:colOff>133350</xdr:colOff>
      <xdr:row>36</xdr:row>
      <xdr:rowOff>171450</xdr:rowOff>
    </xdr:to>
    <xdr:graphicFrame macro="">
      <xdr:nvGraphicFramePr>
        <xdr:cNvPr id="9" name="Chart 8">
          <a:extLst>
            <a:ext uri="{FF2B5EF4-FFF2-40B4-BE49-F238E27FC236}">
              <a16:creationId xmlns:a16="http://schemas.microsoft.com/office/drawing/2014/main" id="{00000000-0008-0000-0600-000009000000}"/>
            </a:ext>
            <a:ext uri="{147F2762-F138-4A5C-976F-8EAC2B608ADB}">
              <a16:predDERef xmlns:a16="http://schemas.microsoft.com/office/drawing/2014/main" pre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171451</xdr:colOff>
      <xdr:row>12</xdr:row>
      <xdr:rowOff>47626</xdr:rowOff>
    </xdr:from>
    <xdr:to>
      <xdr:col>6</xdr:col>
      <xdr:colOff>358140</xdr:colOff>
      <xdr:row>13</xdr:row>
      <xdr:rowOff>20954</xdr:rowOff>
    </xdr:to>
    <xdr:pic>
      <xdr:nvPicPr>
        <xdr:cNvPr id="12" name="Picture 11" descr="Pin on IG ICON IDEAS">
          <a:hlinkClick xmlns:r="http://schemas.openxmlformats.org/officeDocument/2006/relationships" r:id="rId4"/>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29301" y="2238376"/>
          <a:ext cx="180974" cy="18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171450</xdr:colOff>
      <xdr:row>13</xdr:row>
      <xdr:rowOff>57150</xdr:rowOff>
    </xdr:from>
    <xdr:to>
      <xdr:col>6</xdr:col>
      <xdr:colOff>363854</xdr:colOff>
      <xdr:row>14</xdr:row>
      <xdr:rowOff>19049</xdr:rowOff>
    </xdr:to>
    <xdr:pic>
      <xdr:nvPicPr>
        <xdr:cNvPr id="13" name="Picture 12" descr="Pin on IG ICON IDEAS">
          <a:hlinkClick xmlns:r="http://schemas.openxmlformats.org/officeDocument/2006/relationships" r:id="rId6"/>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29300" y="2466975"/>
          <a:ext cx="180974" cy="18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171450</xdr:colOff>
      <xdr:row>14</xdr:row>
      <xdr:rowOff>57150</xdr:rowOff>
    </xdr:from>
    <xdr:to>
      <xdr:col>6</xdr:col>
      <xdr:colOff>363854</xdr:colOff>
      <xdr:row>15</xdr:row>
      <xdr:rowOff>19050</xdr:rowOff>
    </xdr:to>
    <xdr:pic>
      <xdr:nvPicPr>
        <xdr:cNvPr id="14" name="Picture 13" descr="Pin on IG ICON IDEAS">
          <a:hlinkClick xmlns:r="http://schemas.openxmlformats.org/officeDocument/2006/relationships" r:id="rId7"/>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29300" y="2686050"/>
          <a:ext cx="180974" cy="18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180975</xdr:colOff>
      <xdr:row>15</xdr:row>
      <xdr:rowOff>57150</xdr:rowOff>
    </xdr:from>
    <xdr:to>
      <xdr:col>6</xdr:col>
      <xdr:colOff>361949</xdr:colOff>
      <xdr:row>16</xdr:row>
      <xdr:rowOff>19048</xdr:rowOff>
    </xdr:to>
    <xdr:pic>
      <xdr:nvPicPr>
        <xdr:cNvPr id="15" name="Picture 14" descr="Pin on IG ICON IDEAS">
          <a:hlinkClick xmlns:r="http://schemas.openxmlformats.org/officeDocument/2006/relationships" r:id="rId8"/>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38825" y="2905125"/>
          <a:ext cx="180974" cy="18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190500</xdr:colOff>
      <xdr:row>16</xdr:row>
      <xdr:rowOff>57150</xdr:rowOff>
    </xdr:from>
    <xdr:to>
      <xdr:col>6</xdr:col>
      <xdr:colOff>365759</xdr:colOff>
      <xdr:row>17</xdr:row>
      <xdr:rowOff>19050</xdr:rowOff>
    </xdr:to>
    <xdr:pic>
      <xdr:nvPicPr>
        <xdr:cNvPr id="16" name="Picture 15" descr="Pin on IG ICON IDEAS">
          <a:hlinkClick xmlns:r="http://schemas.openxmlformats.org/officeDocument/2006/relationships" r:id="rId9"/>
          <a:extLst>
            <a:ext uri="{FF2B5EF4-FFF2-40B4-BE49-F238E27FC236}">
              <a16:creationId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848350" y="3124200"/>
          <a:ext cx="180974" cy="18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190500</xdr:colOff>
      <xdr:row>17</xdr:row>
      <xdr:rowOff>47625</xdr:rowOff>
    </xdr:from>
    <xdr:to>
      <xdr:col>6</xdr:col>
      <xdr:colOff>365759</xdr:colOff>
      <xdr:row>18</xdr:row>
      <xdr:rowOff>20953</xdr:rowOff>
    </xdr:to>
    <xdr:pic>
      <xdr:nvPicPr>
        <xdr:cNvPr id="17" name="Picture 16" descr="Pin on IG ICON IDEAS">
          <a:hlinkClick xmlns:r="http://schemas.openxmlformats.org/officeDocument/2006/relationships" r:id="rId11"/>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848350" y="3333750"/>
          <a:ext cx="180974" cy="18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10</xdr:col>
          <xdr:colOff>68580</xdr:colOff>
          <xdr:row>2</xdr:row>
          <xdr:rowOff>68580</xdr:rowOff>
        </xdr:from>
        <xdr:to>
          <xdr:col>10</xdr:col>
          <xdr:colOff>335280</xdr:colOff>
          <xdr:row>2</xdr:row>
          <xdr:rowOff>297180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0600-000023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426720</xdr:colOff>
          <xdr:row>2</xdr:row>
          <xdr:rowOff>68580</xdr:rowOff>
        </xdr:from>
        <xdr:to>
          <xdr:col>12</xdr:col>
          <xdr:colOff>38100</xdr:colOff>
          <xdr:row>2</xdr:row>
          <xdr:rowOff>297180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0600-000024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525780</xdr:colOff>
          <xdr:row>2</xdr:row>
          <xdr:rowOff>38100</xdr:rowOff>
        </xdr:from>
        <xdr:to>
          <xdr:col>1</xdr:col>
          <xdr:colOff>198120</xdr:colOff>
          <xdr:row>2</xdr:row>
          <xdr:rowOff>297180</xdr:rowOff>
        </xdr:to>
        <xdr:sp macro="" textlink="">
          <xdr:nvSpPr>
            <xdr:cNvPr id="25639" name="Check Box 39" hidden="1">
              <a:extLst>
                <a:ext uri="{63B3BB69-23CF-44E3-9099-C40C66FF867C}">
                  <a14:compatExt spid="_x0000_s25639"/>
                </a:ext>
                <a:ext uri="{FF2B5EF4-FFF2-40B4-BE49-F238E27FC236}">
                  <a16:creationId xmlns:a16="http://schemas.microsoft.com/office/drawing/2014/main" id="{00000000-0008-0000-0600-000027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17</xdr:col>
      <xdr:colOff>590550</xdr:colOff>
      <xdr:row>0</xdr:row>
      <xdr:rowOff>19050</xdr:rowOff>
    </xdr:from>
    <xdr:to>
      <xdr:col>19</xdr:col>
      <xdr:colOff>409575</xdr:colOff>
      <xdr:row>2</xdr:row>
      <xdr:rowOff>76200</xdr:rowOff>
    </xdr:to>
    <xdr:sp macro="" textlink="">
      <xdr:nvSpPr>
        <xdr:cNvPr id="18" name="Rectangle 17">
          <a:extLst>
            <a:ext uri="{FF2B5EF4-FFF2-40B4-BE49-F238E27FC236}">
              <a16:creationId xmlns:a16="http://schemas.microsoft.com/office/drawing/2014/main" id="{00000000-0008-0000-0600-000012000000}"/>
            </a:ext>
          </a:extLst>
        </xdr:cNvPr>
        <xdr:cNvSpPr/>
      </xdr:nvSpPr>
      <xdr:spPr>
        <a:xfrm>
          <a:off x="17897475" y="19050"/>
          <a:ext cx="1038225" cy="447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1619251</xdr:colOff>
      <xdr:row>16</xdr:row>
      <xdr:rowOff>44450</xdr:rowOff>
    </xdr:from>
    <xdr:to>
      <xdr:col>1</xdr:col>
      <xdr:colOff>1769420</xdr:colOff>
      <xdr:row>17</xdr:row>
      <xdr:rowOff>17781</xdr:rowOff>
    </xdr:to>
    <xdr:pic>
      <xdr:nvPicPr>
        <xdr:cNvPr id="30" name="Picture 29">
          <a:hlinkClick xmlns:r="http://schemas.openxmlformats.org/officeDocument/2006/relationships" r:id="rId13" tooltip="Segmentation Calculator"/>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209801" y="4260850"/>
          <a:ext cx="157789" cy="196850"/>
        </a:xfrm>
        <a:prstGeom prst="rect">
          <a:avLst/>
        </a:prstGeom>
      </xdr:spPr>
    </xdr:pic>
    <xdr:clientData/>
  </xdr:twoCellAnchor>
  <xdr:twoCellAnchor>
    <xdr:from>
      <xdr:col>14</xdr:col>
      <xdr:colOff>114300</xdr:colOff>
      <xdr:row>25</xdr:row>
      <xdr:rowOff>57150</xdr:rowOff>
    </xdr:from>
    <xdr:to>
      <xdr:col>16</xdr:col>
      <xdr:colOff>47625</xdr:colOff>
      <xdr:row>36</xdr:row>
      <xdr:rowOff>104775</xdr:rowOff>
    </xdr:to>
    <xdr:sp macro="" textlink="">
      <xdr:nvSpPr>
        <xdr:cNvPr id="4" name="Rectangle 3">
          <a:extLst>
            <a:ext uri="{FF2B5EF4-FFF2-40B4-BE49-F238E27FC236}">
              <a16:creationId xmlns:a16="http://schemas.microsoft.com/office/drawing/2014/main" id="{00000000-0008-0000-0600-000004000000}"/>
            </a:ext>
          </a:extLst>
        </xdr:cNvPr>
        <xdr:cNvSpPr/>
      </xdr:nvSpPr>
      <xdr:spPr>
        <a:xfrm>
          <a:off x="13563600" y="6286500"/>
          <a:ext cx="1171575" cy="245745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clientData/>
  </xdr:twoCellAnchor>
  <xdr:twoCellAnchor>
    <xdr:from>
      <xdr:col>0</xdr:col>
      <xdr:colOff>558800</xdr:colOff>
      <xdr:row>6</xdr:row>
      <xdr:rowOff>406400</xdr:rowOff>
    </xdr:from>
    <xdr:to>
      <xdr:col>3</xdr:col>
      <xdr:colOff>1022350</xdr:colOff>
      <xdr:row>6</xdr:row>
      <xdr:rowOff>406400</xdr:rowOff>
    </xdr:to>
    <xdr:cxnSp macro="">
      <xdr:nvCxnSpPr>
        <xdr:cNvPr id="25606" name="Straight Connector 9">
          <a:extLst>
            <a:ext uri="{FF2B5EF4-FFF2-40B4-BE49-F238E27FC236}">
              <a16:creationId xmlns:a16="http://schemas.microsoft.com/office/drawing/2014/main" id="{00000000-0008-0000-0600-000006640000}"/>
            </a:ext>
          </a:extLst>
        </xdr:cNvPr>
        <xdr:cNvCxnSpPr/>
      </xdr:nvCxnSpPr>
      <xdr:spPr>
        <a:xfrm>
          <a:off x="558800" y="2222500"/>
          <a:ext cx="5365750" cy="0"/>
        </a:xfrm>
        <a:prstGeom prst="line">
          <a:avLst/>
        </a:prstGeom>
        <a:ln>
          <a:solidFill>
            <a:schemeClr val="bg1"/>
          </a:solidFill>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0</xdr:col>
      <xdr:colOff>0</xdr:colOff>
      <xdr:row>0</xdr:row>
      <xdr:rowOff>0</xdr:rowOff>
    </xdr:from>
    <xdr:to>
      <xdr:col>11</xdr:col>
      <xdr:colOff>184423</xdr:colOff>
      <xdr:row>0</xdr:row>
      <xdr:rowOff>1190625</xdr:rowOff>
    </xdr:to>
    <xdr:grpSp>
      <xdr:nvGrpSpPr>
        <xdr:cNvPr id="25616" name="Group 25615">
          <a:extLst>
            <a:ext uri="{FF2B5EF4-FFF2-40B4-BE49-F238E27FC236}">
              <a16:creationId xmlns:a16="http://schemas.microsoft.com/office/drawing/2014/main" id="{5B7A4450-83AA-4DE7-BC7F-C3C2567459C9}"/>
            </a:ext>
          </a:extLst>
        </xdr:cNvPr>
        <xdr:cNvGrpSpPr/>
      </xdr:nvGrpSpPr>
      <xdr:grpSpPr>
        <a:xfrm>
          <a:off x="0" y="0"/>
          <a:ext cx="11843023" cy="1190625"/>
          <a:chOff x="0" y="0"/>
          <a:chExt cx="12198986" cy="1190625"/>
        </a:xfrm>
      </xdr:grpSpPr>
      <xdr:sp macro="" textlink="">
        <xdr:nvSpPr>
          <xdr:cNvPr id="25619" name="TextBox 25618">
            <a:extLst>
              <a:ext uri="{FF2B5EF4-FFF2-40B4-BE49-F238E27FC236}">
                <a16:creationId xmlns:a16="http://schemas.microsoft.com/office/drawing/2014/main" id="{41B2954C-9B4A-126B-E8CF-398FD7C77FEF}"/>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25620" name="TextBox 25619">
            <a:extLst>
              <a:ext uri="{FF2B5EF4-FFF2-40B4-BE49-F238E27FC236}">
                <a16:creationId xmlns:a16="http://schemas.microsoft.com/office/drawing/2014/main" id="{583876EC-D9A1-638E-E4BF-76F97855A789}"/>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25621" name="TextBox 25620">
            <a:extLst>
              <a:ext uri="{FF2B5EF4-FFF2-40B4-BE49-F238E27FC236}">
                <a16:creationId xmlns:a16="http://schemas.microsoft.com/office/drawing/2014/main" id="{1DE74A51-FA3C-9F7F-3B07-871342802CBC}"/>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25622" name="Picture 25621">
            <a:hlinkClick xmlns:r="http://schemas.openxmlformats.org/officeDocument/2006/relationships" r:id="rId15" tooltip="Education"/>
            <a:extLst>
              <a:ext uri="{FF2B5EF4-FFF2-40B4-BE49-F238E27FC236}">
                <a16:creationId xmlns:a16="http://schemas.microsoft.com/office/drawing/2014/main" id="{8F371D3C-AF08-99A2-6551-AD8409D4F06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25623" name="Picture 25622">
            <a:hlinkClick xmlns:r="http://schemas.openxmlformats.org/officeDocument/2006/relationships" r:id="rId17" tooltip="Terms &amp; Conditions"/>
            <a:extLst>
              <a:ext uri="{FF2B5EF4-FFF2-40B4-BE49-F238E27FC236}">
                <a16:creationId xmlns:a16="http://schemas.microsoft.com/office/drawing/2014/main" id="{09338AFE-7E0B-7084-2F5C-16E8CD61BD7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25624" name="Picture 25623">
            <a:hlinkClick xmlns:r="http://schemas.openxmlformats.org/officeDocument/2006/relationships" r:id="rId19" tooltip="User Guide"/>
            <a:extLst>
              <a:ext uri="{FF2B5EF4-FFF2-40B4-BE49-F238E27FC236}">
                <a16:creationId xmlns:a16="http://schemas.microsoft.com/office/drawing/2014/main" id="{F7F13470-B73B-6742-55CE-38CC1F23596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25625" name="Picture 25624">
            <a:hlinkClick xmlns:r="http://schemas.openxmlformats.org/officeDocument/2006/relationships" r:id="rId21" tooltip="Dashboard"/>
            <a:extLst>
              <a:ext uri="{FF2B5EF4-FFF2-40B4-BE49-F238E27FC236}">
                <a16:creationId xmlns:a16="http://schemas.microsoft.com/office/drawing/2014/main" id="{673719CE-0EE1-8DC6-E3E2-BBDD25D6C1E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25626" name="Picture 25625">
            <a:hlinkClick xmlns:r="http://schemas.openxmlformats.org/officeDocument/2006/relationships" r:id="rId23" tooltip="Factors"/>
            <a:extLst>
              <a:ext uri="{FF2B5EF4-FFF2-40B4-BE49-F238E27FC236}">
                <a16:creationId xmlns:a16="http://schemas.microsoft.com/office/drawing/2014/main" id="{AC76C729-DB3B-40C5-E4C2-7A4715BCA24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25627" name="Picture 25626">
            <a:hlinkClick xmlns:r="http://schemas.openxmlformats.org/officeDocument/2006/relationships" r:id="rId25" tooltip="Alternative Calculations"/>
            <a:extLst>
              <a:ext uri="{FF2B5EF4-FFF2-40B4-BE49-F238E27FC236}">
                <a16:creationId xmlns:a16="http://schemas.microsoft.com/office/drawing/2014/main" id="{3E9BC2C9-D5EE-C2CE-5FB5-F87E7BA5B60F}"/>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25628" name="Picture 25627">
            <a:hlinkClick xmlns:r="http://schemas.openxmlformats.org/officeDocument/2006/relationships" r:id="rId27" tooltip="Abbreviations"/>
            <a:extLst>
              <a:ext uri="{FF2B5EF4-FFF2-40B4-BE49-F238E27FC236}">
                <a16:creationId xmlns:a16="http://schemas.microsoft.com/office/drawing/2014/main" id="{A8557B46-CE40-3D8C-07C5-77FDCEAC6E1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25629" name="Picture 25628">
            <a:hlinkClick xmlns:r="http://schemas.openxmlformats.org/officeDocument/2006/relationships" r:id="rId4" tooltip="Oil and Refined Products"/>
            <a:extLst>
              <a:ext uri="{FF2B5EF4-FFF2-40B4-BE49-F238E27FC236}">
                <a16:creationId xmlns:a16="http://schemas.microsoft.com/office/drawing/2014/main" id="{690981F5-D134-12DA-258D-5D36CCA00B7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25630" name="Rectangle: Rounded Corners 25629">
            <a:extLst>
              <a:ext uri="{FF2B5EF4-FFF2-40B4-BE49-F238E27FC236}">
                <a16:creationId xmlns:a16="http://schemas.microsoft.com/office/drawing/2014/main" id="{3D37B19A-BFBF-0617-6FE6-4218B9EE9D74}"/>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25631" name="Rectangle: Rounded Corners 25630">
            <a:extLst>
              <a:ext uri="{FF2B5EF4-FFF2-40B4-BE49-F238E27FC236}">
                <a16:creationId xmlns:a16="http://schemas.microsoft.com/office/drawing/2014/main" id="{31B43506-DE53-B426-352C-7D58AD130320}"/>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25632" name="Picture 25631">
            <a:hlinkClick xmlns:r="http://schemas.openxmlformats.org/officeDocument/2006/relationships" r:id="rId30" tooltip="Home"/>
            <a:extLst>
              <a:ext uri="{FF2B5EF4-FFF2-40B4-BE49-F238E27FC236}">
                <a16:creationId xmlns:a16="http://schemas.microsoft.com/office/drawing/2014/main" id="{10A79D60-2776-9552-D0DC-75FB902F13F7}"/>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25633" name="Group 25632">
            <a:extLst>
              <a:ext uri="{FF2B5EF4-FFF2-40B4-BE49-F238E27FC236}">
                <a16:creationId xmlns:a16="http://schemas.microsoft.com/office/drawing/2014/main" id="{05B6DCAA-C098-1148-5934-DE2C3651E977}"/>
              </a:ext>
            </a:extLst>
          </xdr:cNvPr>
          <xdr:cNvGrpSpPr/>
        </xdr:nvGrpSpPr>
        <xdr:grpSpPr>
          <a:xfrm>
            <a:off x="8739731" y="304801"/>
            <a:ext cx="779626" cy="652742"/>
            <a:chOff x="8739731" y="304801"/>
            <a:chExt cx="779626" cy="652742"/>
          </a:xfrm>
        </xdr:grpSpPr>
        <xdr:pic>
          <xdr:nvPicPr>
            <xdr:cNvPr id="25653" name="Picture 25652">
              <a:hlinkClick xmlns:r="http://schemas.openxmlformats.org/officeDocument/2006/relationships" r:id="rId7" tooltip="Gas &amp; LNG"/>
              <a:extLst>
                <a:ext uri="{FF2B5EF4-FFF2-40B4-BE49-F238E27FC236}">
                  <a16:creationId xmlns:a16="http://schemas.microsoft.com/office/drawing/2014/main" id="{21955676-9496-F932-46C5-C2D0F86C431D}"/>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25654" name="TextBox 25653">
              <a:extLst>
                <a:ext uri="{FF2B5EF4-FFF2-40B4-BE49-F238E27FC236}">
                  <a16:creationId xmlns:a16="http://schemas.microsoft.com/office/drawing/2014/main" id="{507FDB87-FE22-2739-86C2-7152B324B0C3}"/>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25634" name="Group 25633">
            <a:hlinkClick xmlns:r="http://schemas.openxmlformats.org/officeDocument/2006/relationships" r:id="rId6"/>
            <a:extLst>
              <a:ext uri="{FF2B5EF4-FFF2-40B4-BE49-F238E27FC236}">
                <a16:creationId xmlns:a16="http://schemas.microsoft.com/office/drawing/2014/main" id="{B2E108FB-EE9F-CE73-B8E0-FF037BA09989}"/>
              </a:ext>
            </a:extLst>
          </xdr:cNvPr>
          <xdr:cNvGrpSpPr/>
        </xdr:nvGrpSpPr>
        <xdr:grpSpPr>
          <a:xfrm>
            <a:off x="7963288" y="399140"/>
            <a:ext cx="936684" cy="558403"/>
            <a:chOff x="7252446" y="427715"/>
            <a:chExt cx="932330" cy="558403"/>
          </a:xfrm>
        </xdr:grpSpPr>
        <xdr:pic>
          <xdr:nvPicPr>
            <xdr:cNvPr id="25651" name="Picture 25650">
              <a:extLst>
                <a:ext uri="{FF2B5EF4-FFF2-40B4-BE49-F238E27FC236}">
                  <a16:creationId xmlns:a16="http://schemas.microsoft.com/office/drawing/2014/main" id="{22843A2B-0026-F5F0-BFA6-470F313BFB03}"/>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33"/>
            <a:stretch>
              <a:fillRect/>
            </a:stretch>
          </xdr:blipFill>
          <xdr:spPr>
            <a:xfrm>
              <a:off x="7404131" y="427715"/>
              <a:ext cx="582522" cy="453422"/>
            </a:xfrm>
            <a:prstGeom prst="rect">
              <a:avLst/>
            </a:prstGeom>
          </xdr:spPr>
        </xdr:pic>
        <xdr:sp macro="" textlink="">
          <xdr:nvSpPr>
            <xdr:cNvPr id="25652" name="TextBox 25651">
              <a:extLst>
                <a:ext uri="{FF2B5EF4-FFF2-40B4-BE49-F238E27FC236}">
                  <a16:creationId xmlns:a16="http://schemas.microsoft.com/office/drawing/2014/main" id="{E3010D41-1B83-83D7-85B7-EEB1995495F3}"/>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25637" name="Group 25636">
            <a:hlinkClick xmlns:r="http://schemas.openxmlformats.org/officeDocument/2006/relationships" r:id="rId9"/>
            <a:extLst>
              <a:ext uri="{FF2B5EF4-FFF2-40B4-BE49-F238E27FC236}">
                <a16:creationId xmlns:a16="http://schemas.microsoft.com/office/drawing/2014/main" id="{7F5DD370-ACFF-0388-BED1-7031C4A63E4E}"/>
              </a:ext>
            </a:extLst>
          </xdr:cNvPr>
          <xdr:cNvGrpSpPr/>
        </xdr:nvGrpSpPr>
        <xdr:grpSpPr>
          <a:xfrm>
            <a:off x="10117854" y="449143"/>
            <a:ext cx="952892" cy="517367"/>
            <a:chOff x="9402658" y="477718"/>
            <a:chExt cx="952892" cy="517367"/>
          </a:xfrm>
        </xdr:grpSpPr>
        <xdr:pic>
          <xdr:nvPicPr>
            <xdr:cNvPr id="25649" name="Picture 25648">
              <a:extLst>
                <a:ext uri="{FF2B5EF4-FFF2-40B4-BE49-F238E27FC236}">
                  <a16:creationId xmlns:a16="http://schemas.microsoft.com/office/drawing/2014/main" id="{27905B66-C27D-DF93-9E39-832761682B68}"/>
                </a:ext>
              </a:extLst>
            </xdr:cNvPr>
            <xdr:cNvPicPr>
              <a:picLocks noChangeAspect="1"/>
            </xdr:cNvPicPr>
          </xdr:nvPicPr>
          <xdr:blipFill>
            <a:blip xmlns:r="http://schemas.openxmlformats.org/officeDocument/2006/relationships" r:embed="rId34"/>
            <a:stretch>
              <a:fillRect/>
            </a:stretch>
          </xdr:blipFill>
          <xdr:spPr>
            <a:xfrm>
              <a:off x="9525454" y="477718"/>
              <a:ext cx="679846" cy="340639"/>
            </a:xfrm>
            <a:prstGeom prst="rect">
              <a:avLst/>
            </a:prstGeom>
          </xdr:spPr>
        </xdr:pic>
        <xdr:sp macro="" textlink="">
          <xdr:nvSpPr>
            <xdr:cNvPr id="25650" name="TextBox 25649">
              <a:extLst>
                <a:ext uri="{FF2B5EF4-FFF2-40B4-BE49-F238E27FC236}">
                  <a16:creationId xmlns:a16="http://schemas.microsoft.com/office/drawing/2014/main" id="{9561D9BA-4E6B-F9B3-877D-59D87A79684F}"/>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25638" name="Group 25637">
            <a:hlinkClick xmlns:r="http://schemas.openxmlformats.org/officeDocument/2006/relationships" r:id="rId8"/>
            <a:extLst>
              <a:ext uri="{FF2B5EF4-FFF2-40B4-BE49-F238E27FC236}">
                <a16:creationId xmlns:a16="http://schemas.microsoft.com/office/drawing/2014/main" id="{8AD41E72-F3CA-4C2C-1485-E17A0EEA6A79}"/>
              </a:ext>
            </a:extLst>
          </xdr:cNvPr>
          <xdr:cNvGrpSpPr/>
        </xdr:nvGrpSpPr>
        <xdr:grpSpPr>
          <a:xfrm>
            <a:off x="9340366" y="249331"/>
            <a:ext cx="841559" cy="690282"/>
            <a:chOff x="8625170" y="277906"/>
            <a:chExt cx="841559" cy="690282"/>
          </a:xfrm>
        </xdr:grpSpPr>
        <xdr:pic>
          <xdr:nvPicPr>
            <xdr:cNvPr id="25647" name="Picture 25646">
              <a:extLst>
                <a:ext uri="{FF2B5EF4-FFF2-40B4-BE49-F238E27FC236}">
                  <a16:creationId xmlns:a16="http://schemas.microsoft.com/office/drawing/2014/main" id="{D4CE5345-E06D-C567-363F-DAE9D0E97DA3}"/>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35"/>
            <a:stretch>
              <a:fillRect/>
            </a:stretch>
          </xdr:blipFill>
          <xdr:spPr>
            <a:xfrm>
              <a:off x="8686800" y="277906"/>
              <a:ext cx="685800" cy="577215"/>
            </a:xfrm>
            <a:prstGeom prst="rect">
              <a:avLst/>
            </a:prstGeom>
          </xdr:spPr>
        </xdr:pic>
        <xdr:sp macro="" textlink="">
          <xdr:nvSpPr>
            <xdr:cNvPr id="25648" name="TextBox 25647">
              <a:extLst>
                <a:ext uri="{FF2B5EF4-FFF2-40B4-BE49-F238E27FC236}">
                  <a16:creationId xmlns:a16="http://schemas.microsoft.com/office/drawing/2014/main" id="{1A60547C-8C02-C233-807E-2DE568117946}"/>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25640" name="Group 25639">
            <a:hlinkClick xmlns:r="http://schemas.openxmlformats.org/officeDocument/2006/relationships" r:id="rId11"/>
            <a:extLst>
              <a:ext uri="{FF2B5EF4-FFF2-40B4-BE49-F238E27FC236}">
                <a16:creationId xmlns:a16="http://schemas.microsoft.com/office/drawing/2014/main" id="{D401E88A-AF72-18A0-B2AC-24173723F617}"/>
              </a:ext>
            </a:extLst>
          </xdr:cNvPr>
          <xdr:cNvGrpSpPr/>
        </xdr:nvGrpSpPr>
        <xdr:grpSpPr>
          <a:xfrm>
            <a:off x="10773597" y="215530"/>
            <a:ext cx="1425389" cy="957239"/>
            <a:chOff x="10094261" y="244105"/>
            <a:chExt cx="1425389" cy="957239"/>
          </a:xfrm>
        </xdr:grpSpPr>
        <xdr:pic>
          <xdr:nvPicPr>
            <xdr:cNvPr id="25645" name="Picture 25644">
              <a:extLst>
                <a:ext uri="{FF2B5EF4-FFF2-40B4-BE49-F238E27FC236}">
                  <a16:creationId xmlns:a16="http://schemas.microsoft.com/office/drawing/2014/main" id="{D795B893-7D83-9874-C0AC-FC8A3FD8A91C}"/>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36"/>
            <a:stretch>
              <a:fillRect/>
            </a:stretch>
          </xdr:blipFill>
          <xdr:spPr>
            <a:xfrm>
              <a:off x="10548612" y="244105"/>
              <a:ext cx="458002" cy="608284"/>
            </a:xfrm>
            <a:prstGeom prst="rect">
              <a:avLst/>
            </a:prstGeom>
          </xdr:spPr>
        </xdr:pic>
        <xdr:sp macro="" textlink="">
          <xdr:nvSpPr>
            <xdr:cNvPr id="25646" name="TextBox 25645">
              <a:extLst>
                <a:ext uri="{FF2B5EF4-FFF2-40B4-BE49-F238E27FC236}">
                  <a16:creationId xmlns:a16="http://schemas.microsoft.com/office/drawing/2014/main" id="{743C79CD-15E0-7539-3D16-88A61EC92207}"/>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25641" name="Rectangle: Rounded Corners 25640">
            <a:extLst>
              <a:ext uri="{FF2B5EF4-FFF2-40B4-BE49-F238E27FC236}">
                <a16:creationId xmlns:a16="http://schemas.microsoft.com/office/drawing/2014/main" id="{7C93273D-37FB-4D17-01A6-86D40F0CF182}"/>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25642" name="Group 25641">
            <a:hlinkClick xmlns:r="http://schemas.openxmlformats.org/officeDocument/2006/relationships" r:id="rId37"/>
            <a:extLst>
              <a:ext uri="{FF2B5EF4-FFF2-40B4-BE49-F238E27FC236}">
                <a16:creationId xmlns:a16="http://schemas.microsoft.com/office/drawing/2014/main" id="{51E2E091-4DEF-1FAA-BB21-1C7E2F955C7E}"/>
              </a:ext>
            </a:extLst>
          </xdr:cNvPr>
          <xdr:cNvGrpSpPr/>
        </xdr:nvGrpSpPr>
        <xdr:grpSpPr>
          <a:xfrm>
            <a:off x="1717819" y="429577"/>
            <a:ext cx="521114" cy="502920"/>
            <a:chOff x="1714500" y="434340"/>
            <a:chExt cx="521114" cy="502920"/>
          </a:xfrm>
        </xdr:grpSpPr>
        <xdr:pic>
          <xdr:nvPicPr>
            <xdr:cNvPr id="25643" name="Picture 25642">
              <a:extLst>
                <a:ext uri="{FF2B5EF4-FFF2-40B4-BE49-F238E27FC236}">
                  <a16:creationId xmlns:a16="http://schemas.microsoft.com/office/drawing/2014/main" id="{2FD8A269-D18A-733E-7998-1251DD5060D5}"/>
                </a:ext>
              </a:extLst>
            </xdr:cNvPr>
            <xdr:cNvPicPr>
              <a:picLocks noChangeAspect="1"/>
            </xdr:cNvPicPr>
          </xdr:nvPicPr>
          <xdr:blipFill>
            <a:blip xmlns:r="http://schemas.openxmlformats.org/officeDocument/2006/relationships" r:embed="rId38"/>
            <a:stretch>
              <a:fillRect/>
            </a:stretch>
          </xdr:blipFill>
          <xdr:spPr>
            <a:xfrm>
              <a:off x="1739946" y="434340"/>
              <a:ext cx="495668" cy="367536"/>
            </a:xfrm>
            <a:prstGeom prst="rect">
              <a:avLst/>
            </a:prstGeom>
          </xdr:spPr>
        </xdr:pic>
        <xdr:sp macro="" textlink="">
          <xdr:nvSpPr>
            <xdr:cNvPr id="25644" name="TextBox 25643">
              <a:extLst>
                <a:ext uri="{FF2B5EF4-FFF2-40B4-BE49-F238E27FC236}">
                  <a16:creationId xmlns:a16="http://schemas.microsoft.com/office/drawing/2014/main" id="{4A189959-39A8-BC5F-28EE-4418713487B6}"/>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1280160</xdr:colOff>
          <xdr:row>1</xdr:row>
          <xdr:rowOff>289560</xdr:rowOff>
        </xdr:from>
        <xdr:to>
          <xdr:col>3</xdr:col>
          <xdr:colOff>7620</xdr:colOff>
          <xdr:row>1</xdr:row>
          <xdr:rowOff>495300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08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5</xdr:col>
      <xdr:colOff>3265080</xdr:colOff>
      <xdr:row>0</xdr:row>
      <xdr:rowOff>1190625</xdr:rowOff>
    </xdr:to>
    <xdr:grpSp>
      <xdr:nvGrpSpPr>
        <xdr:cNvPr id="49156" name="Group 49155">
          <a:extLst>
            <a:ext uri="{FF2B5EF4-FFF2-40B4-BE49-F238E27FC236}">
              <a16:creationId xmlns:a16="http://schemas.microsoft.com/office/drawing/2014/main" id="{E720F6EA-9582-454C-950F-B689EDDFC345}"/>
            </a:ext>
          </a:extLst>
        </xdr:cNvPr>
        <xdr:cNvGrpSpPr/>
      </xdr:nvGrpSpPr>
      <xdr:grpSpPr>
        <a:xfrm>
          <a:off x="0" y="0"/>
          <a:ext cx="11951880" cy="1190625"/>
          <a:chOff x="0" y="0"/>
          <a:chExt cx="12198986" cy="1190625"/>
        </a:xfrm>
      </xdr:grpSpPr>
      <xdr:sp macro="" textlink="">
        <xdr:nvSpPr>
          <xdr:cNvPr id="49157" name="TextBox 49156">
            <a:extLst>
              <a:ext uri="{FF2B5EF4-FFF2-40B4-BE49-F238E27FC236}">
                <a16:creationId xmlns:a16="http://schemas.microsoft.com/office/drawing/2014/main" id="{A75FAA1F-D924-6E07-2011-1206BCA6E535}"/>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49158" name="TextBox 49157">
            <a:extLst>
              <a:ext uri="{FF2B5EF4-FFF2-40B4-BE49-F238E27FC236}">
                <a16:creationId xmlns:a16="http://schemas.microsoft.com/office/drawing/2014/main" id="{6404392C-C4F3-D543-5AD3-3A83C04AC681}"/>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49159" name="TextBox 49158">
            <a:extLst>
              <a:ext uri="{FF2B5EF4-FFF2-40B4-BE49-F238E27FC236}">
                <a16:creationId xmlns:a16="http://schemas.microsoft.com/office/drawing/2014/main" id="{E0E9E551-5E35-CD71-E4B5-EFBB3C45E787}"/>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49160" name="Picture 49159">
            <a:hlinkClick xmlns:r="http://schemas.openxmlformats.org/officeDocument/2006/relationships" r:id="rId1" tooltip="Education"/>
            <a:extLst>
              <a:ext uri="{FF2B5EF4-FFF2-40B4-BE49-F238E27FC236}">
                <a16:creationId xmlns:a16="http://schemas.microsoft.com/office/drawing/2014/main" id="{2C20A251-3D10-6558-6EFD-D490A14229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49161" name="Picture 49160">
            <a:hlinkClick xmlns:r="http://schemas.openxmlformats.org/officeDocument/2006/relationships" r:id="rId3" tooltip="Terms &amp; Conditions"/>
            <a:extLst>
              <a:ext uri="{FF2B5EF4-FFF2-40B4-BE49-F238E27FC236}">
                <a16:creationId xmlns:a16="http://schemas.microsoft.com/office/drawing/2014/main" id="{A362AB4A-20E4-1984-C827-5FEBFEB037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49162" name="Picture 49161">
            <a:hlinkClick xmlns:r="http://schemas.openxmlformats.org/officeDocument/2006/relationships" r:id="rId5" tooltip="User Guide"/>
            <a:extLst>
              <a:ext uri="{FF2B5EF4-FFF2-40B4-BE49-F238E27FC236}">
                <a16:creationId xmlns:a16="http://schemas.microsoft.com/office/drawing/2014/main" id="{3344C513-3207-0E92-1770-A1B87688C1F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49163" name="Picture 49162">
            <a:hlinkClick xmlns:r="http://schemas.openxmlformats.org/officeDocument/2006/relationships" r:id="rId7" tooltip="Dashboard"/>
            <a:extLst>
              <a:ext uri="{FF2B5EF4-FFF2-40B4-BE49-F238E27FC236}">
                <a16:creationId xmlns:a16="http://schemas.microsoft.com/office/drawing/2014/main" id="{F49A3BB9-F677-AF5E-291F-B9C79A646DA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49164" name="Picture 49163">
            <a:hlinkClick xmlns:r="http://schemas.openxmlformats.org/officeDocument/2006/relationships" r:id="rId9" tooltip="Factors"/>
            <a:extLst>
              <a:ext uri="{FF2B5EF4-FFF2-40B4-BE49-F238E27FC236}">
                <a16:creationId xmlns:a16="http://schemas.microsoft.com/office/drawing/2014/main" id="{3A0070C5-7543-09EF-3FDA-AFBE8252F10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49165" name="Picture 49164">
            <a:hlinkClick xmlns:r="http://schemas.openxmlformats.org/officeDocument/2006/relationships" r:id="rId11" tooltip="Alternative Calculations"/>
            <a:extLst>
              <a:ext uri="{FF2B5EF4-FFF2-40B4-BE49-F238E27FC236}">
                <a16:creationId xmlns:a16="http://schemas.microsoft.com/office/drawing/2014/main" id="{8FC3BA48-FDDA-07C0-0AA7-32AE8F318D9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49166" name="Picture 49165">
            <a:hlinkClick xmlns:r="http://schemas.openxmlformats.org/officeDocument/2006/relationships" r:id="rId13" tooltip="Abbreviations"/>
            <a:extLst>
              <a:ext uri="{FF2B5EF4-FFF2-40B4-BE49-F238E27FC236}">
                <a16:creationId xmlns:a16="http://schemas.microsoft.com/office/drawing/2014/main" id="{9FAD494F-A2E5-17FA-FE92-FFD541DFC93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49167" name="Picture 49166">
            <a:hlinkClick xmlns:r="http://schemas.openxmlformats.org/officeDocument/2006/relationships" r:id="rId15" tooltip="Oil and Refined Products"/>
            <a:extLst>
              <a:ext uri="{FF2B5EF4-FFF2-40B4-BE49-F238E27FC236}">
                <a16:creationId xmlns:a16="http://schemas.microsoft.com/office/drawing/2014/main" id="{916DE19F-26EE-8EDE-AB8C-08A93AF8C42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49168" name="Rectangle: Rounded Corners 49167">
            <a:extLst>
              <a:ext uri="{FF2B5EF4-FFF2-40B4-BE49-F238E27FC236}">
                <a16:creationId xmlns:a16="http://schemas.microsoft.com/office/drawing/2014/main" id="{9F2BDA02-F086-2891-BC4E-84CE5652DF23}"/>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49169" name="Rectangle: Rounded Corners 49168">
            <a:extLst>
              <a:ext uri="{FF2B5EF4-FFF2-40B4-BE49-F238E27FC236}">
                <a16:creationId xmlns:a16="http://schemas.microsoft.com/office/drawing/2014/main" id="{7215A8BB-3A44-3216-2433-5CECCEDA6975}"/>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49170" name="Picture 49169">
            <a:hlinkClick xmlns:r="http://schemas.openxmlformats.org/officeDocument/2006/relationships" r:id="rId17" tooltip="Home"/>
            <a:extLst>
              <a:ext uri="{FF2B5EF4-FFF2-40B4-BE49-F238E27FC236}">
                <a16:creationId xmlns:a16="http://schemas.microsoft.com/office/drawing/2014/main" id="{A048F86E-1B39-F3BF-A30D-4FC430CEB0E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49171" name="Group 49170">
            <a:extLst>
              <a:ext uri="{FF2B5EF4-FFF2-40B4-BE49-F238E27FC236}">
                <a16:creationId xmlns:a16="http://schemas.microsoft.com/office/drawing/2014/main" id="{6E324A8F-8992-4DD3-9412-320B68A950F6}"/>
              </a:ext>
            </a:extLst>
          </xdr:cNvPr>
          <xdr:cNvGrpSpPr/>
        </xdr:nvGrpSpPr>
        <xdr:grpSpPr>
          <a:xfrm>
            <a:off x="8739731" y="304801"/>
            <a:ext cx="779626" cy="652742"/>
            <a:chOff x="8739731" y="304801"/>
            <a:chExt cx="779626" cy="652742"/>
          </a:xfrm>
        </xdr:grpSpPr>
        <xdr:pic>
          <xdr:nvPicPr>
            <xdr:cNvPr id="49188" name="Picture 49187">
              <a:hlinkClick xmlns:r="http://schemas.openxmlformats.org/officeDocument/2006/relationships" r:id="rId19" tooltip="Gas &amp; LNG"/>
              <a:extLst>
                <a:ext uri="{FF2B5EF4-FFF2-40B4-BE49-F238E27FC236}">
                  <a16:creationId xmlns:a16="http://schemas.microsoft.com/office/drawing/2014/main" id="{B1C05446-162C-AE37-B508-5A486F7D012B}"/>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49189" name="TextBox 49188">
              <a:extLst>
                <a:ext uri="{FF2B5EF4-FFF2-40B4-BE49-F238E27FC236}">
                  <a16:creationId xmlns:a16="http://schemas.microsoft.com/office/drawing/2014/main" id="{9ADBC888-AD2A-DC53-8EBF-BC78B0FFA7AD}"/>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49172" name="Group 49171">
            <a:hlinkClick xmlns:r="http://schemas.openxmlformats.org/officeDocument/2006/relationships" r:id="rId21"/>
            <a:extLst>
              <a:ext uri="{FF2B5EF4-FFF2-40B4-BE49-F238E27FC236}">
                <a16:creationId xmlns:a16="http://schemas.microsoft.com/office/drawing/2014/main" id="{0CDA1E5E-5780-157E-A6CA-04F617E7C4F1}"/>
              </a:ext>
            </a:extLst>
          </xdr:cNvPr>
          <xdr:cNvGrpSpPr/>
        </xdr:nvGrpSpPr>
        <xdr:grpSpPr>
          <a:xfrm>
            <a:off x="7963288" y="399140"/>
            <a:ext cx="936684" cy="558403"/>
            <a:chOff x="7252446" y="427715"/>
            <a:chExt cx="932330" cy="558403"/>
          </a:xfrm>
        </xdr:grpSpPr>
        <xdr:pic>
          <xdr:nvPicPr>
            <xdr:cNvPr id="49186" name="Picture 49185">
              <a:extLst>
                <a:ext uri="{FF2B5EF4-FFF2-40B4-BE49-F238E27FC236}">
                  <a16:creationId xmlns:a16="http://schemas.microsoft.com/office/drawing/2014/main" id="{BA17C0D9-2A63-64DC-F46D-79D1F7177702}"/>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49187" name="TextBox 49186">
              <a:extLst>
                <a:ext uri="{FF2B5EF4-FFF2-40B4-BE49-F238E27FC236}">
                  <a16:creationId xmlns:a16="http://schemas.microsoft.com/office/drawing/2014/main" id="{0994174D-AC2A-79B0-6053-6DD503C5733F}"/>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49173" name="Group 49172">
            <a:hlinkClick xmlns:r="http://schemas.openxmlformats.org/officeDocument/2006/relationships" r:id="rId23"/>
            <a:extLst>
              <a:ext uri="{FF2B5EF4-FFF2-40B4-BE49-F238E27FC236}">
                <a16:creationId xmlns:a16="http://schemas.microsoft.com/office/drawing/2014/main" id="{FA76052E-433E-6EDB-5CBB-1B2D61AB6C9A}"/>
              </a:ext>
            </a:extLst>
          </xdr:cNvPr>
          <xdr:cNvGrpSpPr/>
        </xdr:nvGrpSpPr>
        <xdr:grpSpPr>
          <a:xfrm>
            <a:off x="10117854" y="449143"/>
            <a:ext cx="952892" cy="517367"/>
            <a:chOff x="9402658" y="477718"/>
            <a:chExt cx="952892" cy="517367"/>
          </a:xfrm>
        </xdr:grpSpPr>
        <xdr:pic>
          <xdr:nvPicPr>
            <xdr:cNvPr id="49184" name="Picture 49183">
              <a:extLst>
                <a:ext uri="{FF2B5EF4-FFF2-40B4-BE49-F238E27FC236}">
                  <a16:creationId xmlns:a16="http://schemas.microsoft.com/office/drawing/2014/main" id="{79C08CDF-B502-CB00-3DFC-94638EC609B4}"/>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49185" name="TextBox 49184">
              <a:extLst>
                <a:ext uri="{FF2B5EF4-FFF2-40B4-BE49-F238E27FC236}">
                  <a16:creationId xmlns:a16="http://schemas.microsoft.com/office/drawing/2014/main" id="{75D50F0C-74E8-39BD-CEA9-0CA5D6B26948}"/>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49174" name="Group 49173">
            <a:hlinkClick xmlns:r="http://schemas.openxmlformats.org/officeDocument/2006/relationships" r:id="rId25"/>
            <a:extLst>
              <a:ext uri="{FF2B5EF4-FFF2-40B4-BE49-F238E27FC236}">
                <a16:creationId xmlns:a16="http://schemas.microsoft.com/office/drawing/2014/main" id="{35358855-C6CD-9C0F-367B-2408DFF21725}"/>
              </a:ext>
            </a:extLst>
          </xdr:cNvPr>
          <xdr:cNvGrpSpPr/>
        </xdr:nvGrpSpPr>
        <xdr:grpSpPr>
          <a:xfrm>
            <a:off x="9340366" y="249331"/>
            <a:ext cx="841559" cy="690282"/>
            <a:chOff x="8625170" y="277906"/>
            <a:chExt cx="841559" cy="690282"/>
          </a:xfrm>
        </xdr:grpSpPr>
        <xdr:pic>
          <xdr:nvPicPr>
            <xdr:cNvPr id="49182" name="Picture 49181">
              <a:extLst>
                <a:ext uri="{FF2B5EF4-FFF2-40B4-BE49-F238E27FC236}">
                  <a16:creationId xmlns:a16="http://schemas.microsoft.com/office/drawing/2014/main" id="{44FA590A-51D3-67E0-837C-3857B6CC6A01}"/>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49183" name="TextBox 49182">
              <a:extLst>
                <a:ext uri="{FF2B5EF4-FFF2-40B4-BE49-F238E27FC236}">
                  <a16:creationId xmlns:a16="http://schemas.microsoft.com/office/drawing/2014/main" id="{14D3957F-5CC8-7C53-2D26-DFC3F1DBF2FB}"/>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49175" name="Group 49174">
            <a:hlinkClick xmlns:r="http://schemas.openxmlformats.org/officeDocument/2006/relationships" r:id="rId27"/>
            <a:extLst>
              <a:ext uri="{FF2B5EF4-FFF2-40B4-BE49-F238E27FC236}">
                <a16:creationId xmlns:a16="http://schemas.microsoft.com/office/drawing/2014/main" id="{55768386-20CD-6FF6-718F-8D7747E4FEE3}"/>
              </a:ext>
            </a:extLst>
          </xdr:cNvPr>
          <xdr:cNvGrpSpPr/>
        </xdr:nvGrpSpPr>
        <xdr:grpSpPr>
          <a:xfrm>
            <a:off x="10773597" y="215530"/>
            <a:ext cx="1425389" cy="957239"/>
            <a:chOff x="10094261" y="244105"/>
            <a:chExt cx="1425389" cy="957239"/>
          </a:xfrm>
        </xdr:grpSpPr>
        <xdr:pic>
          <xdr:nvPicPr>
            <xdr:cNvPr id="49180" name="Picture 49179">
              <a:extLst>
                <a:ext uri="{FF2B5EF4-FFF2-40B4-BE49-F238E27FC236}">
                  <a16:creationId xmlns:a16="http://schemas.microsoft.com/office/drawing/2014/main" id="{43CF07FE-5A7E-8DA7-003C-4616570F3AF0}"/>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49181" name="TextBox 49180">
              <a:extLst>
                <a:ext uri="{FF2B5EF4-FFF2-40B4-BE49-F238E27FC236}">
                  <a16:creationId xmlns:a16="http://schemas.microsoft.com/office/drawing/2014/main" id="{42D55296-ED91-A14E-01C9-75B9F3C156E4}"/>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49176" name="Rectangle: Rounded Corners 49175">
            <a:extLst>
              <a:ext uri="{FF2B5EF4-FFF2-40B4-BE49-F238E27FC236}">
                <a16:creationId xmlns:a16="http://schemas.microsoft.com/office/drawing/2014/main" id="{C89AB10F-AF98-0BFB-2020-1395837BDE69}"/>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49177" name="Group 49176">
            <a:hlinkClick xmlns:r="http://schemas.openxmlformats.org/officeDocument/2006/relationships" r:id="rId29"/>
            <a:extLst>
              <a:ext uri="{FF2B5EF4-FFF2-40B4-BE49-F238E27FC236}">
                <a16:creationId xmlns:a16="http://schemas.microsoft.com/office/drawing/2014/main" id="{BAB88238-40B7-EF52-A741-1BCAF8AAAB62}"/>
              </a:ext>
            </a:extLst>
          </xdr:cNvPr>
          <xdr:cNvGrpSpPr/>
        </xdr:nvGrpSpPr>
        <xdr:grpSpPr>
          <a:xfrm>
            <a:off x="1717819" y="429577"/>
            <a:ext cx="521114" cy="502920"/>
            <a:chOff x="1714500" y="434340"/>
            <a:chExt cx="521114" cy="502920"/>
          </a:xfrm>
        </xdr:grpSpPr>
        <xdr:pic>
          <xdr:nvPicPr>
            <xdr:cNvPr id="49178" name="Picture 49177">
              <a:extLst>
                <a:ext uri="{FF2B5EF4-FFF2-40B4-BE49-F238E27FC236}">
                  <a16:creationId xmlns:a16="http://schemas.microsoft.com/office/drawing/2014/main" id="{FAA023AA-10F7-6469-E8AC-D08E6E9F8231}"/>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49179" name="TextBox 49178">
              <a:extLst>
                <a:ext uri="{FF2B5EF4-FFF2-40B4-BE49-F238E27FC236}">
                  <a16:creationId xmlns:a16="http://schemas.microsoft.com/office/drawing/2014/main" id="{2A2CFC3F-0BF3-37C4-61E5-3461ED276848}"/>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xdr:colOff>
          <xdr:row>2</xdr:row>
          <xdr:rowOff>0</xdr:rowOff>
        </xdr:from>
        <xdr:to>
          <xdr:col>1</xdr:col>
          <xdr:colOff>274320</xdr:colOff>
          <xdr:row>3</xdr:row>
          <xdr:rowOff>7620</xdr:rowOff>
        </xdr:to>
        <xdr:sp macro="" textlink="">
          <xdr:nvSpPr>
            <xdr:cNvPr id="35877" name="Check Box 37" hidden="1">
              <a:extLst>
                <a:ext uri="{63B3BB69-23CF-44E3-9099-C40C66FF867C}">
                  <a14:compatExt spid="_x0000_s35877"/>
                </a:ext>
                <a:ext uri="{FF2B5EF4-FFF2-40B4-BE49-F238E27FC236}">
                  <a16:creationId xmlns:a16="http://schemas.microsoft.com/office/drawing/2014/main" id="{00000000-0008-0000-0500-000025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0</xdr:col>
      <xdr:colOff>0</xdr:colOff>
      <xdr:row>0</xdr:row>
      <xdr:rowOff>0</xdr:rowOff>
    </xdr:from>
    <xdr:to>
      <xdr:col>5</xdr:col>
      <xdr:colOff>674280</xdr:colOff>
      <xdr:row>0</xdr:row>
      <xdr:rowOff>1190625</xdr:rowOff>
    </xdr:to>
    <xdr:grpSp>
      <xdr:nvGrpSpPr>
        <xdr:cNvPr id="35843" name="Group 35842">
          <a:extLst>
            <a:ext uri="{FF2B5EF4-FFF2-40B4-BE49-F238E27FC236}">
              <a16:creationId xmlns:a16="http://schemas.microsoft.com/office/drawing/2014/main" id="{9511FA77-0B1E-4EC1-8DAE-C4331B18D647}"/>
            </a:ext>
          </a:extLst>
        </xdr:cNvPr>
        <xdr:cNvGrpSpPr/>
      </xdr:nvGrpSpPr>
      <xdr:grpSpPr>
        <a:xfrm>
          <a:off x="0" y="0"/>
          <a:ext cx="11885205" cy="1190625"/>
          <a:chOff x="0" y="0"/>
          <a:chExt cx="12198986" cy="1190625"/>
        </a:xfrm>
      </xdr:grpSpPr>
      <xdr:sp macro="" textlink="">
        <xdr:nvSpPr>
          <xdr:cNvPr id="35844" name="TextBox 35843">
            <a:extLst>
              <a:ext uri="{FF2B5EF4-FFF2-40B4-BE49-F238E27FC236}">
                <a16:creationId xmlns:a16="http://schemas.microsoft.com/office/drawing/2014/main" id="{C03002B4-CC80-21DA-77D7-360DEB4564FF}"/>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35845" name="TextBox 35844">
            <a:extLst>
              <a:ext uri="{FF2B5EF4-FFF2-40B4-BE49-F238E27FC236}">
                <a16:creationId xmlns:a16="http://schemas.microsoft.com/office/drawing/2014/main" id="{E8907CC3-EA0B-FE35-D0D0-A5D22C06C42E}"/>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35846" name="TextBox 35845">
            <a:extLst>
              <a:ext uri="{FF2B5EF4-FFF2-40B4-BE49-F238E27FC236}">
                <a16:creationId xmlns:a16="http://schemas.microsoft.com/office/drawing/2014/main" id="{F1DB31B2-BB08-23BF-A713-B321D14A9DBC}"/>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35847" name="Picture 35846">
            <a:hlinkClick xmlns:r="http://schemas.openxmlformats.org/officeDocument/2006/relationships" r:id="rId1" tooltip="Education"/>
            <a:extLst>
              <a:ext uri="{FF2B5EF4-FFF2-40B4-BE49-F238E27FC236}">
                <a16:creationId xmlns:a16="http://schemas.microsoft.com/office/drawing/2014/main" id="{5FB23B0E-FD84-97BC-8E1F-161CFF86DA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35848" name="Picture 35847">
            <a:hlinkClick xmlns:r="http://schemas.openxmlformats.org/officeDocument/2006/relationships" r:id="rId3" tooltip="Terms &amp; Conditions"/>
            <a:extLst>
              <a:ext uri="{FF2B5EF4-FFF2-40B4-BE49-F238E27FC236}">
                <a16:creationId xmlns:a16="http://schemas.microsoft.com/office/drawing/2014/main" id="{36FF3913-98CB-1CE2-D0A2-2D3099EEB3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35849" name="Picture 35848">
            <a:hlinkClick xmlns:r="http://schemas.openxmlformats.org/officeDocument/2006/relationships" r:id="rId5" tooltip="User Guide"/>
            <a:extLst>
              <a:ext uri="{FF2B5EF4-FFF2-40B4-BE49-F238E27FC236}">
                <a16:creationId xmlns:a16="http://schemas.microsoft.com/office/drawing/2014/main" id="{F8DC7971-2F06-C155-4940-F644D653D94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35850" name="Picture 35849">
            <a:hlinkClick xmlns:r="http://schemas.openxmlformats.org/officeDocument/2006/relationships" r:id="rId7" tooltip="Dashboard"/>
            <a:extLst>
              <a:ext uri="{FF2B5EF4-FFF2-40B4-BE49-F238E27FC236}">
                <a16:creationId xmlns:a16="http://schemas.microsoft.com/office/drawing/2014/main" id="{515C7727-500A-AB1D-17FF-B6278902B14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35851" name="Picture 35850">
            <a:hlinkClick xmlns:r="http://schemas.openxmlformats.org/officeDocument/2006/relationships" r:id="rId9" tooltip="Factors"/>
            <a:extLst>
              <a:ext uri="{FF2B5EF4-FFF2-40B4-BE49-F238E27FC236}">
                <a16:creationId xmlns:a16="http://schemas.microsoft.com/office/drawing/2014/main" id="{F90608BE-E1ED-99FF-F279-6E7150623DF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35852" name="Picture 35851">
            <a:hlinkClick xmlns:r="http://schemas.openxmlformats.org/officeDocument/2006/relationships" r:id="rId11" tooltip="Alternative Calculations"/>
            <a:extLst>
              <a:ext uri="{FF2B5EF4-FFF2-40B4-BE49-F238E27FC236}">
                <a16:creationId xmlns:a16="http://schemas.microsoft.com/office/drawing/2014/main" id="{2EAC3D6B-7574-EB11-3BCC-2FA175DE4E6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35853" name="Picture 35852">
            <a:hlinkClick xmlns:r="http://schemas.openxmlformats.org/officeDocument/2006/relationships" r:id="rId13" tooltip="Abbreviations"/>
            <a:extLst>
              <a:ext uri="{FF2B5EF4-FFF2-40B4-BE49-F238E27FC236}">
                <a16:creationId xmlns:a16="http://schemas.microsoft.com/office/drawing/2014/main" id="{FFBEBDAD-6B9F-9685-1CD8-05C49979BA7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35854" name="Picture 35853">
            <a:hlinkClick xmlns:r="http://schemas.openxmlformats.org/officeDocument/2006/relationships" r:id="rId15" tooltip="Oil and Refined Products"/>
            <a:extLst>
              <a:ext uri="{FF2B5EF4-FFF2-40B4-BE49-F238E27FC236}">
                <a16:creationId xmlns:a16="http://schemas.microsoft.com/office/drawing/2014/main" id="{6CEC0268-B975-4759-8F1A-BE285F4DF57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35855" name="Rectangle: Rounded Corners 35854">
            <a:extLst>
              <a:ext uri="{FF2B5EF4-FFF2-40B4-BE49-F238E27FC236}">
                <a16:creationId xmlns:a16="http://schemas.microsoft.com/office/drawing/2014/main" id="{06F08DDF-CA47-E804-34C9-1640DED039C7}"/>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35856" name="Rectangle: Rounded Corners 35855">
            <a:extLst>
              <a:ext uri="{FF2B5EF4-FFF2-40B4-BE49-F238E27FC236}">
                <a16:creationId xmlns:a16="http://schemas.microsoft.com/office/drawing/2014/main" id="{4D4F7277-03FB-83E4-2D0E-9C5780275A1A}"/>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35857" name="Picture 35856">
            <a:hlinkClick xmlns:r="http://schemas.openxmlformats.org/officeDocument/2006/relationships" r:id="rId17" tooltip="Home"/>
            <a:extLst>
              <a:ext uri="{FF2B5EF4-FFF2-40B4-BE49-F238E27FC236}">
                <a16:creationId xmlns:a16="http://schemas.microsoft.com/office/drawing/2014/main" id="{01646047-B1F2-70C1-074B-D124895A94C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35858" name="Group 35857">
            <a:extLst>
              <a:ext uri="{FF2B5EF4-FFF2-40B4-BE49-F238E27FC236}">
                <a16:creationId xmlns:a16="http://schemas.microsoft.com/office/drawing/2014/main" id="{2E2B0A9C-AA66-F0D2-5C98-A880E1840F60}"/>
              </a:ext>
            </a:extLst>
          </xdr:cNvPr>
          <xdr:cNvGrpSpPr/>
        </xdr:nvGrpSpPr>
        <xdr:grpSpPr>
          <a:xfrm>
            <a:off x="8739731" y="304801"/>
            <a:ext cx="779626" cy="652742"/>
            <a:chOff x="8739731" y="304801"/>
            <a:chExt cx="779626" cy="652742"/>
          </a:xfrm>
        </xdr:grpSpPr>
        <xdr:pic>
          <xdr:nvPicPr>
            <xdr:cNvPr id="35875" name="Picture 35874">
              <a:hlinkClick xmlns:r="http://schemas.openxmlformats.org/officeDocument/2006/relationships" r:id="rId19" tooltip="Gas &amp; LNG"/>
              <a:extLst>
                <a:ext uri="{FF2B5EF4-FFF2-40B4-BE49-F238E27FC236}">
                  <a16:creationId xmlns:a16="http://schemas.microsoft.com/office/drawing/2014/main" id="{A76F9E59-ED53-427B-6AAD-FD25AC743291}"/>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35876" name="TextBox 35875">
              <a:extLst>
                <a:ext uri="{FF2B5EF4-FFF2-40B4-BE49-F238E27FC236}">
                  <a16:creationId xmlns:a16="http://schemas.microsoft.com/office/drawing/2014/main" id="{5ABBF57F-DEAE-B60D-918A-67A07FA9A72E}"/>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35859" name="Group 35858">
            <a:hlinkClick xmlns:r="http://schemas.openxmlformats.org/officeDocument/2006/relationships" r:id="rId21"/>
            <a:extLst>
              <a:ext uri="{FF2B5EF4-FFF2-40B4-BE49-F238E27FC236}">
                <a16:creationId xmlns:a16="http://schemas.microsoft.com/office/drawing/2014/main" id="{CAEE5EE2-99CE-CB2D-1C80-5A43CFB27787}"/>
              </a:ext>
            </a:extLst>
          </xdr:cNvPr>
          <xdr:cNvGrpSpPr/>
        </xdr:nvGrpSpPr>
        <xdr:grpSpPr>
          <a:xfrm>
            <a:off x="7963288" y="399140"/>
            <a:ext cx="936684" cy="558403"/>
            <a:chOff x="7252446" y="427715"/>
            <a:chExt cx="932330" cy="558403"/>
          </a:xfrm>
        </xdr:grpSpPr>
        <xdr:pic>
          <xdr:nvPicPr>
            <xdr:cNvPr id="35873" name="Picture 35872">
              <a:extLst>
                <a:ext uri="{FF2B5EF4-FFF2-40B4-BE49-F238E27FC236}">
                  <a16:creationId xmlns:a16="http://schemas.microsoft.com/office/drawing/2014/main" id="{48419153-54A6-EE55-E9B5-205432123726}"/>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35874" name="TextBox 35873">
              <a:extLst>
                <a:ext uri="{FF2B5EF4-FFF2-40B4-BE49-F238E27FC236}">
                  <a16:creationId xmlns:a16="http://schemas.microsoft.com/office/drawing/2014/main" id="{5517910C-D17F-D7A9-AD18-01D61310B015}"/>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35860" name="Group 35859">
            <a:hlinkClick xmlns:r="http://schemas.openxmlformats.org/officeDocument/2006/relationships" r:id="rId23"/>
            <a:extLst>
              <a:ext uri="{FF2B5EF4-FFF2-40B4-BE49-F238E27FC236}">
                <a16:creationId xmlns:a16="http://schemas.microsoft.com/office/drawing/2014/main" id="{D4BDAF10-B24D-A638-2F76-80AC081BBF74}"/>
              </a:ext>
            </a:extLst>
          </xdr:cNvPr>
          <xdr:cNvGrpSpPr/>
        </xdr:nvGrpSpPr>
        <xdr:grpSpPr>
          <a:xfrm>
            <a:off x="10117854" y="449143"/>
            <a:ext cx="952892" cy="517367"/>
            <a:chOff x="9402658" y="477718"/>
            <a:chExt cx="952892" cy="517367"/>
          </a:xfrm>
        </xdr:grpSpPr>
        <xdr:pic>
          <xdr:nvPicPr>
            <xdr:cNvPr id="35871" name="Picture 35870">
              <a:extLst>
                <a:ext uri="{FF2B5EF4-FFF2-40B4-BE49-F238E27FC236}">
                  <a16:creationId xmlns:a16="http://schemas.microsoft.com/office/drawing/2014/main" id="{6906035B-4179-3D5A-F0E6-B5AE1F1DF802}"/>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35872" name="TextBox 35871">
              <a:extLst>
                <a:ext uri="{FF2B5EF4-FFF2-40B4-BE49-F238E27FC236}">
                  <a16:creationId xmlns:a16="http://schemas.microsoft.com/office/drawing/2014/main" id="{B2B75F9C-7488-EF52-6DF0-D1E0FBA88821}"/>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35861" name="Group 35860">
            <a:hlinkClick xmlns:r="http://schemas.openxmlformats.org/officeDocument/2006/relationships" r:id="rId25"/>
            <a:extLst>
              <a:ext uri="{FF2B5EF4-FFF2-40B4-BE49-F238E27FC236}">
                <a16:creationId xmlns:a16="http://schemas.microsoft.com/office/drawing/2014/main" id="{A700082A-0622-431D-F496-886EECC40F9F}"/>
              </a:ext>
            </a:extLst>
          </xdr:cNvPr>
          <xdr:cNvGrpSpPr/>
        </xdr:nvGrpSpPr>
        <xdr:grpSpPr>
          <a:xfrm>
            <a:off x="9340366" y="249331"/>
            <a:ext cx="841559" cy="690282"/>
            <a:chOff x="8625170" y="277906"/>
            <a:chExt cx="841559" cy="690282"/>
          </a:xfrm>
        </xdr:grpSpPr>
        <xdr:pic>
          <xdr:nvPicPr>
            <xdr:cNvPr id="35869" name="Picture 35868">
              <a:extLst>
                <a:ext uri="{FF2B5EF4-FFF2-40B4-BE49-F238E27FC236}">
                  <a16:creationId xmlns:a16="http://schemas.microsoft.com/office/drawing/2014/main" id="{30F0ACFB-2657-09BB-FB72-2581E21C29FB}"/>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35870" name="TextBox 35869">
              <a:extLst>
                <a:ext uri="{FF2B5EF4-FFF2-40B4-BE49-F238E27FC236}">
                  <a16:creationId xmlns:a16="http://schemas.microsoft.com/office/drawing/2014/main" id="{9588D02D-150D-9BE8-F6CA-3EA48B8D8ECE}"/>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35862" name="Group 35861">
            <a:hlinkClick xmlns:r="http://schemas.openxmlformats.org/officeDocument/2006/relationships" r:id="rId27"/>
            <a:extLst>
              <a:ext uri="{FF2B5EF4-FFF2-40B4-BE49-F238E27FC236}">
                <a16:creationId xmlns:a16="http://schemas.microsoft.com/office/drawing/2014/main" id="{C14BD134-CB87-D6F9-FC9E-AE1A4BAE5749}"/>
              </a:ext>
            </a:extLst>
          </xdr:cNvPr>
          <xdr:cNvGrpSpPr/>
        </xdr:nvGrpSpPr>
        <xdr:grpSpPr>
          <a:xfrm>
            <a:off x="10773597" y="215530"/>
            <a:ext cx="1425389" cy="957239"/>
            <a:chOff x="10094261" y="244105"/>
            <a:chExt cx="1425389" cy="957239"/>
          </a:xfrm>
        </xdr:grpSpPr>
        <xdr:pic>
          <xdr:nvPicPr>
            <xdr:cNvPr id="35867" name="Picture 35866">
              <a:extLst>
                <a:ext uri="{FF2B5EF4-FFF2-40B4-BE49-F238E27FC236}">
                  <a16:creationId xmlns:a16="http://schemas.microsoft.com/office/drawing/2014/main" id="{3D1B7135-B980-7914-1D38-C99EA0432F75}"/>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35868" name="TextBox 35867">
              <a:extLst>
                <a:ext uri="{FF2B5EF4-FFF2-40B4-BE49-F238E27FC236}">
                  <a16:creationId xmlns:a16="http://schemas.microsoft.com/office/drawing/2014/main" id="{4C1F47AC-9D39-F5B4-B67F-EB8925FB0BE8}"/>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35863" name="Rectangle: Rounded Corners 35862">
            <a:extLst>
              <a:ext uri="{FF2B5EF4-FFF2-40B4-BE49-F238E27FC236}">
                <a16:creationId xmlns:a16="http://schemas.microsoft.com/office/drawing/2014/main" id="{C2E4CD09-E567-452E-941E-EF15B2C1E811}"/>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35864" name="Group 35863">
            <a:hlinkClick xmlns:r="http://schemas.openxmlformats.org/officeDocument/2006/relationships" r:id="rId29"/>
            <a:extLst>
              <a:ext uri="{FF2B5EF4-FFF2-40B4-BE49-F238E27FC236}">
                <a16:creationId xmlns:a16="http://schemas.microsoft.com/office/drawing/2014/main" id="{C4DD91AF-E95E-4F98-9B91-22640F8EB35D}"/>
              </a:ext>
            </a:extLst>
          </xdr:cNvPr>
          <xdr:cNvGrpSpPr/>
        </xdr:nvGrpSpPr>
        <xdr:grpSpPr>
          <a:xfrm>
            <a:off x="1717819" y="429577"/>
            <a:ext cx="521114" cy="502920"/>
            <a:chOff x="1714500" y="434340"/>
            <a:chExt cx="521114" cy="502920"/>
          </a:xfrm>
        </xdr:grpSpPr>
        <xdr:pic>
          <xdr:nvPicPr>
            <xdr:cNvPr id="35865" name="Picture 35864">
              <a:extLst>
                <a:ext uri="{FF2B5EF4-FFF2-40B4-BE49-F238E27FC236}">
                  <a16:creationId xmlns:a16="http://schemas.microsoft.com/office/drawing/2014/main" id="{71A99792-85D1-4350-2ECF-8B7D3085F7AC}"/>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35866" name="TextBox 35865">
              <a:extLst>
                <a:ext uri="{FF2B5EF4-FFF2-40B4-BE49-F238E27FC236}">
                  <a16:creationId xmlns:a16="http://schemas.microsoft.com/office/drawing/2014/main" id="{2C481B15-8F23-0CAD-EAEB-2DC088CA571F}"/>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449580</xdr:colOff>
          <xdr:row>15</xdr:row>
          <xdr:rowOff>175260</xdr:rowOff>
        </xdr:from>
        <xdr:to>
          <xdr:col>6</xdr:col>
          <xdr:colOff>655320</xdr:colOff>
          <xdr:row>17</xdr:row>
          <xdr:rowOff>144780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7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6</xdr:col>
      <xdr:colOff>1142366</xdr:colOff>
      <xdr:row>0</xdr:row>
      <xdr:rowOff>1190625</xdr:rowOff>
    </xdr:to>
    <xdr:grpSp>
      <xdr:nvGrpSpPr>
        <xdr:cNvPr id="19459" name="Group 19458">
          <a:extLst>
            <a:ext uri="{FF2B5EF4-FFF2-40B4-BE49-F238E27FC236}">
              <a16:creationId xmlns:a16="http://schemas.microsoft.com/office/drawing/2014/main" id="{EBB4684A-392C-431D-9C84-4B76A9FB5BB3}"/>
            </a:ext>
          </a:extLst>
        </xdr:cNvPr>
        <xdr:cNvGrpSpPr/>
      </xdr:nvGrpSpPr>
      <xdr:grpSpPr>
        <a:xfrm>
          <a:off x="0" y="0"/>
          <a:ext cx="11896091" cy="1190625"/>
          <a:chOff x="0" y="0"/>
          <a:chExt cx="12198986" cy="1190625"/>
        </a:xfrm>
      </xdr:grpSpPr>
      <xdr:sp macro="" textlink="">
        <xdr:nvSpPr>
          <xdr:cNvPr id="19460" name="TextBox 19459">
            <a:extLst>
              <a:ext uri="{FF2B5EF4-FFF2-40B4-BE49-F238E27FC236}">
                <a16:creationId xmlns:a16="http://schemas.microsoft.com/office/drawing/2014/main" id="{016FC21A-7860-7520-F9FF-0E613933F1B8}"/>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19461" name="TextBox 19460">
            <a:extLst>
              <a:ext uri="{FF2B5EF4-FFF2-40B4-BE49-F238E27FC236}">
                <a16:creationId xmlns:a16="http://schemas.microsoft.com/office/drawing/2014/main" id="{E9187FC6-EAC7-DAF0-ED02-D15257E31DA1}"/>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19462" name="TextBox 19461">
            <a:extLst>
              <a:ext uri="{FF2B5EF4-FFF2-40B4-BE49-F238E27FC236}">
                <a16:creationId xmlns:a16="http://schemas.microsoft.com/office/drawing/2014/main" id="{ED761DEC-0C6F-0D19-E761-B85B7744926E}"/>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19463" name="Picture 19462">
            <a:hlinkClick xmlns:r="http://schemas.openxmlformats.org/officeDocument/2006/relationships" r:id="rId1" tooltip="Education"/>
            <a:extLst>
              <a:ext uri="{FF2B5EF4-FFF2-40B4-BE49-F238E27FC236}">
                <a16:creationId xmlns:a16="http://schemas.microsoft.com/office/drawing/2014/main" id="{FE053364-1FCB-3CCF-D6E4-B60475B18D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19464" name="Picture 19463">
            <a:hlinkClick xmlns:r="http://schemas.openxmlformats.org/officeDocument/2006/relationships" r:id="rId3" tooltip="Terms &amp; Conditions"/>
            <a:extLst>
              <a:ext uri="{FF2B5EF4-FFF2-40B4-BE49-F238E27FC236}">
                <a16:creationId xmlns:a16="http://schemas.microsoft.com/office/drawing/2014/main" id="{175BFCA0-BCB0-A3CB-9D3F-FB93CEA368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19465" name="Picture 19464">
            <a:hlinkClick xmlns:r="http://schemas.openxmlformats.org/officeDocument/2006/relationships" r:id="rId5" tooltip="User Guide"/>
            <a:extLst>
              <a:ext uri="{FF2B5EF4-FFF2-40B4-BE49-F238E27FC236}">
                <a16:creationId xmlns:a16="http://schemas.microsoft.com/office/drawing/2014/main" id="{2FE6CBD8-222B-B825-B11C-C64027F1A71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19466" name="Picture 19465">
            <a:hlinkClick xmlns:r="http://schemas.openxmlformats.org/officeDocument/2006/relationships" r:id="rId7" tooltip="Dashboard"/>
            <a:extLst>
              <a:ext uri="{FF2B5EF4-FFF2-40B4-BE49-F238E27FC236}">
                <a16:creationId xmlns:a16="http://schemas.microsoft.com/office/drawing/2014/main" id="{0585FAC0-0ECD-CC45-035A-2DA39A7E5C1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19467" name="Picture 19466">
            <a:hlinkClick xmlns:r="http://schemas.openxmlformats.org/officeDocument/2006/relationships" r:id="rId9" tooltip="Factors"/>
            <a:extLst>
              <a:ext uri="{FF2B5EF4-FFF2-40B4-BE49-F238E27FC236}">
                <a16:creationId xmlns:a16="http://schemas.microsoft.com/office/drawing/2014/main" id="{4BAADC30-C492-CA0D-13AF-38D324FD100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19468" name="Picture 19467">
            <a:hlinkClick xmlns:r="http://schemas.openxmlformats.org/officeDocument/2006/relationships" r:id="rId11" tooltip="Alternative Calculations"/>
            <a:extLst>
              <a:ext uri="{FF2B5EF4-FFF2-40B4-BE49-F238E27FC236}">
                <a16:creationId xmlns:a16="http://schemas.microsoft.com/office/drawing/2014/main" id="{E90AD15D-3E24-35FB-A9E4-BA4479D533D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19469" name="Picture 19468">
            <a:hlinkClick xmlns:r="http://schemas.openxmlformats.org/officeDocument/2006/relationships" r:id="rId13" tooltip="Abbreviations"/>
            <a:extLst>
              <a:ext uri="{FF2B5EF4-FFF2-40B4-BE49-F238E27FC236}">
                <a16:creationId xmlns:a16="http://schemas.microsoft.com/office/drawing/2014/main" id="{3D1A6F1F-E850-252B-03A5-675985E796F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19470" name="Picture 19469">
            <a:hlinkClick xmlns:r="http://schemas.openxmlformats.org/officeDocument/2006/relationships" r:id="rId15" tooltip="Oil and Refined Products"/>
            <a:extLst>
              <a:ext uri="{FF2B5EF4-FFF2-40B4-BE49-F238E27FC236}">
                <a16:creationId xmlns:a16="http://schemas.microsoft.com/office/drawing/2014/main" id="{202F8B5F-2BA4-57DC-82AE-65B17A4A438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19472" name="Rectangle: Rounded Corners 19471">
            <a:extLst>
              <a:ext uri="{FF2B5EF4-FFF2-40B4-BE49-F238E27FC236}">
                <a16:creationId xmlns:a16="http://schemas.microsoft.com/office/drawing/2014/main" id="{C1DEE88A-C1F7-C4CA-4619-A1A4D9CFF4D5}"/>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19473" name="Rectangle: Rounded Corners 19472">
            <a:extLst>
              <a:ext uri="{FF2B5EF4-FFF2-40B4-BE49-F238E27FC236}">
                <a16:creationId xmlns:a16="http://schemas.microsoft.com/office/drawing/2014/main" id="{D463EF8C-6F10-D8D4-89E2-F97C02EC3035}"/>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19474" name="Picture 19473">
            <a:hlinkClick xmlns:r="http://schemas.openxmlformats.org/officeDocument/2006/relationships" r:id="rId17" tooltip="Home"/>
            <a:extLst>
              <a:ext uri="{FF2B5EF4-FFF2-40B4-BE49-F238E27FC236}">
                <a16:creationId xmlns:a16="http://schemas.microsoft.com/office/drawing/2014/main" id="{C4710DCF-945D-CF74-A298-9197DF22647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19475" name="Group 19474">
            <a:extLst>
              <a:ext uri="{FF2B5EF4-FFF2-40B4-BE49-F238E27FC236}">
                <a16:creationId xmlns:a16="http://schemas.microsoft.com/office/drawing/2014/main" id="{ED946BB9-3E90-14E4-2444-7C708CD887FA}"/>
              </a:ext>
            </a:extLst>
          </xdr:cNvPr>
          <xdr:cNvGrpSpPr/>
        </xdr:nvGrpSpPr>
        <xdr:grpSpPr>
          <a:xfrm>
            <a:off x="8739731" y="304801"/>
            <a:ext cx="779626" cy="652742"/>
            <a:chOff x="8739731" y="304801"/>
            <a:chExt cx="779626" cy="652742"/>
          </a:xfrm>
        </xdr:grpSpPr>
        <xdr:pic>
          <xdr:nvPicPr>
            <xdr:cNvPr id="19492" name="Picture 19491">
              <a:hlinkClick xmlns:r="http://schemas.openxmlformats.org/officeDocument/2006/relationships" r:id="rId19" tooltip="Gas &amp; LNG"/>
              <a:extLst>
                <a:ext uri="{FF2B5EF4-FFF2-40B4-BE49-F238E27FC236}">
                  <a16:creationId xmlns:a16="http://schemas.microsoft.com/office/drawing/2014/main" id="{BF4EC440-8D4F-55AF-EAD9-306E372CDEC2}"/>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19493" name="TextBox 19492">
              <a:extLst>
                <a:ext uri="{FF2B5EF4-FFF2-40B4-BE49-F238E27FC236}">
                  <a16:creationId xmlns:a16="http://schemas.microsoft.com/office/drawing/2014/main" id="{732865BA-9F65-3086-2E14-3907938AA2EC}"/>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19476" name="Group 19475">
            <a:hlinkClick xmlns:r="http://schemas.openxmlformats.org/officeDocument/2006/relationships" r:id="rId21"/>
            <a:extLst>
              <a:ext uri="{FF2B5EF4-FFF2-40B4-BE49-F238E27FC236}">
                <a16:creationId xmlns:a16="http://schemas.microsoft.com/office/drawing/2014/main" id="{C980B3A7-BA5E-702D-9F71-DF476A7543E5}"/>
              </a:ext>
            </a:extLst>
          </xdr:cNvPr>
          <xdr:cNvGrpSpPr/>
        </xdr:nvGrpSpPr>
        <xdr:grpSpPr>
          <a:xfrm>
            <a:off x="7963288" y="399140"/>
            <a:ext cx="936684" cy="558403"/>
            <a:chOff x="7252446" y="427715"/>
            <a:chExt cx="932330" cy="558403"/>
          </a:xfrm>
        </xdr:grpSpPr>
        <xdr:pic>
          <xdr:nvPicPr>
            <xdr:cNvPr id="19490" name="Picture 19489">
              <a:extLst>
                <a:ext uri="{FF2B5EF4-FFF2-40B4-BE49-F238E27FC236}">
                  <a16:creationId xmlns:a16="http://schemas.microsoft.com/office/drawing/2014/main" id="{B502CFE4-97CC-E0E7-F7CC-E8F84328135D}"/>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19491" name="TextBox 19490">
              <a:extLst>
                <a:ext uri="{FF2B5EF4-FFF2-40B4-BE49-F238E27FC236}">
                  <a16:creationId xmlns:a16="http://schemas.microsoft.com/office/drawing/2014/main" id="{39DEFC82-043B-1BF5-C2D6-BDD6D6CDA7F9}"/>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19477" name="Group 19476">
            <a:hlinkClick xmlns:r="http://schemas.openxmlformats.org/officeDocument/2006/relationships" r:id="rId23"/>
            <a:extLst>
              <a:ext uri="{FF2B5EF4-FFF2-40B4-BE49-F238E27FC236}">
                <a16:creationId xmlns:a16="http://schemas.microsoft.com/office/drawing/2014/main" id="{16BABA61-9062-D1E2-F021-AF500E2DF181}"/>
              </a:ext>
            </a:extLst>
          </xdr:cNvPr>
          <xdr:cNvGrpSpPr/>
        </xdr:nvGrpSpPr>
        <xdr:grpSpPr>
          <a:xfrm>
            <a:off x="10117854" y="449143"/>
            <a:ext cx="952892" cy="517367"/>
            <a:chOff x="9402658" y="477718"/>
            <a:chExt cx="952892" cy="517367"/>
          </a:xfrm>
        </xdr:grpSpPr>
        <xdr:pic>
          <xdr:nvPicPr>
            <xdr:cNvPr id="19488" name="Picture 19487">
              <a:extLst>
                <a:ext uri="{FF2B5EF4-FFF2-40B4-BE49-F238E27FC236}">
                  <a16:creationId xmlns:a16="http://schemas.microsoft.com/office/drawing/2014/main" id="{D6FA43C5-AD32-F38B-D98C-2709874976EB}"/>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19489" name="TextBox 19488">
              <a:extLst>
                <a:ext uri="{FF2B5EF4-FFF2-40B4-BE49-F238E27FC236}">
                  <a16:creationId xmlns:a16="http://schemas.microsoft.com/office/drawing/2014/main" id="{95FDF6D6-A636-EA7A-9DB2-93B1A6A00E5E}"/>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19478" name="Group 19477">
            <a:hlinkClick xmlns:r="http://schemas.openxmlformats.org/officeDocument/2006/relationships" r:id="rId25"/>
            <a:extLst>
              <a:ext uri="{FF2B5EF4-FFF2-40B4-BE49-F238E27FC236}">
                <a16:creationId xmlns:a16="http://schemas.microsoft.com/office/drawing/2014/main" id="{54D10369-3798-1AE1-57F2-37BAA13E6D29}"/>
              </a:ext>
            </a:extLst>
          </xdr:cNvPr>
          <xdr:cNvGrpSpPr/>
        </xdr:nvGrpSpPr>
        <xdr:grpSpPr>
          <a:xfrm>
            <a:off x="9340366" y="249331"/>
            <a:ext cx="841559" cy="690282"/>
            <a:chOff x="8625170" y="277906"/>
            <a:chExt cx="841559" cy="690282"/>
          </a:xfrm>
        </xdr:grpSpPr>
        <xdr:pic>
          <xdr:nvPicPr>
            <xdr:cNvPr id="19486" name="Picture 19485">
              <a:extLst>
                <a:ext uri="{FF2B5EF4-FFF2-40B4-BE49-F238E27FC236}">
                  <a16:creationId xmlns:a16="http://schemas.microsoft.com/office/drawing/2014/main" id="{0E612317-7815-D775-3625-845BB7653E37}"/>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19487" name="TextBox 19486">
              <a:extLst>
                <a:ext uri="{FF2B5EF4-FFF2-40B4-BE49-F238E27FC236}">
                  <a16:creationId xmlns:a16="http://schemas.microsoft.com/office/drawing/2014/main" id="{A2A55F17-F8A2-7041-7F35-7754CA0B406A}"/>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19479" name="Group 19478">
            <a:hlinkClick xmlns:r="http://schemas.openxmlformats.org/officeDocument/2006/relationships" r:id="rId27"/>
            <a:extLst>
              <a:ext uri="{FF2B5EF4-FFF2-40B4-BE49-F238E27FC236}">
                <a16:creationId xmlns:a16="http://schemas.microsoft.com/office/drawing/2014/main" id="{6F4A4799-3AF0-B979-D187-D4E474500BFC}"/>
              </a:ext>
            </a:extLst>
          </xdr:cNvPr>
          <xdr:cNvGrpSpPr/>
        </xdr:nvGrpSpPr>
        <xdr:grpSpPr>
          <a:xfrm>
            <a:off x="10773597" y="215530"/>
            <a:ext cx="1425389" cy="957239"/>
            <a:chOff x="10094261" y="244105"/>
            <a:chExt cx="1425389" cy="957239"/>
          </a:xfrm>
        </xdr:grpSpPr>
        <xdr:pic>
          <xdr:nvPicPr>
            <xdr:cNvPr id="19484" name="Picture 19483">
              <a:extLst>
                <a:ext uri="{FF2B5EF4-FFF2-40B4-BE49-F238E27FC236}">
                  <a16:creationId xmlns:a16="http://schemas.microsoft.com/office/drawing/2014/main" id="{33BEF49E-5EA9-3829-6B18-83C851015A27}"/>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19485" name="TextBox 19484">
              <a:extLst>
                <a:ext uri="{FF2B5EF4-FFF2-40B4-BE49-F238E27FC236}">
                  <a16:creationId xmlns:a16="http://schemas.microsoft.com/office/drawing/2014/main" id="{72A1AEE0-78AC-A822-E330-E247885AC815}"/>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19480" name="Rectangle: Rounded Corners 19479">
            <a:extLst>
              <a:ext uri="{FF2B5EF4-FFF2-40B4-BE49-F238E27FC236}">
                <a16:creationId xmlns:a16="http://schemas.microsoft.com/office/drawing/2014/main" id="{1C8655F3-85EC-3153-4418-FB5DC9F33DEB}"/>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19481" name="Group 19480">
            <a:hlinkClick xmlns:r="http://schemas.openxmlformats.org/officeDocument/2006/relationships" r:id="rId29"/>
            <a:extLst>
              <a:ext uri="{FF2B5EF4-FFF2-40B4-BE49-F238E27FC236}">
                <a16:creationId xmlns:a16="http://schemas.microsoft.com/office/drawing/2014/main" id="{5CCA87DF-59C0-AE08-4186-BDC97E631052}"/>
              </a:ext>
            </a:extLst>
          </xdr:cNvPr>
          <xdr:cNvGrpSpPr/>
        </xdr:nvGrpSpPr>
        <xdr:grpSpPr>
          <a:xfrm>
            <a:off x="1717819" y="429577"/>
            <a:ext cx="521114" cy="502920"/>
            <a:chOff x="1714500" y="434340"/>
            <a:chExt cx="521114" cy="502920"/>
          </a:xfrm>
        </xdr:grpSpPr>
        <xdr:pic>
          <xdr:nvPicPr>
            <xdr:cNvPr id="19482" name="Picture 19481">
              <a:extLst>
                <a:ext uri="{FF2B5EF4-FFF2-40B4-BE49-F238E27FC236}">
                  <a16:creationId xmlns:a16="http://schemas.microsoft.com/office/drawing/2014/main" id="{D1E645E9-0A23-241C-73CA-6E91AF9455E7}"/>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19483" name="TextBox 19482">
              <a:extLst>
                <a:ext uri="{FF2B5EF4-FFF2-40B4-BE49-F238E27FC236}">
                  <a16:creationId xmlns:a16="http://schemas.microsoft.com/office/drawing/2014/main" id="{BA551A79-55D0-1459-41C7-3D9B8DA350DD}"/>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persons/person.xml><?xml version="1.0" encoding="utf-8"?>
<personList xmlns="http://schemas.microsoft.com/office/spreadsheetml/2018/threadedcomments" xmlns:x="http://schemas.openxmlformats.org/spreadsheetml/2006/main">
  <person displayName="Haddix, Alison" id="{40638865-8EA7-4E36-BC19-EC225BD7F438}" userId="S::alisonhaddix@chevron.com::6c9c9816-2b28-4914-bd97-d7b0c40fbdc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4" dT="2022-06-13T16:09:10.71" personId="{40638865-8EA7-4E36-BC19-EC225BD7F438}" id="{4016329B-7AC2-4469-ADED-2C69241C4B47}">
    <text>Navigation Pane:
About (Education, Abbreviations, Terms &amp; Conditions)
Dashboard (Inputs, Factors)
Calculations ( Breakdown of calc by energy product)</text>
  </threadedComment>
  <threadedComment ref="F4" dT="2022-06-13T16:10:07.90" personId="{40638865-8EA7-4E36-BC19-EC225BD7F438}" id="{4B22393E-618A-465E-811F-B24188CA638D}" parentId="{4016329B-7AC2-4469-ADED-2C69241C4B47}">
    <text>Make it possible to navigate to each section from any page</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chevron.co/GHGassuranc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convert-measurement-units.com/convert+Terajoule+to+Million+BTU.php" TargetMode="External"/><Relationship Id="rId13" Type="http://schemas.openxmlformats.org/officeDocument/2006/relationships/ctrlProp" Target="../ctrlProps/ctrlProp5.xml"/><Relationship Id="rId3" Type="http://schemas.openxmlformats.org/officeDocument/2006/relationships/hyperlink" Target="https://hydrogencouncil.com/wp-content/uploads/2021/01/Hydrogen-Council-Report_Decarbonization-Pathways_Part-1-Lifecycle-Assessment.pdf" TargetMode="External"/><Relationship Id="rId7" Type="http://schemas.openxmlformats.org/officeDocument/2006/relationships/hyperlink" Target="https://www.nrel.gov/docs/fy21osti/80580.pdf" TargetMode="External"/><Relationship Id="rId12" Type="http://schemas.openxmlformats.org/officeDocument/2006/relationships/vmlDrawing" Target="../drawings/vmlDrawing4.vml"/><Relationship Id="rId2" Type="http://schemas.openxmlformats.org/officeDocument/2006/relationships/hyperlink" Target="https://hydrogencouncil.com/wp-content/uploads/2021/01/Hydrogen-Council-Report_Decarbonization-Pathways_Part-1-Lifecycle-Assessment.pdf" TargetMode="External"/><Relationship Id="rId1" Type="http://schemas.openxmlformats.org/officeDocument/2006/relationships/hyperlink" Target="https://www.eia.gov/energyexplained/units-and-calculators/energy-conversion-calculators.php" TargetMode="External"/><Relationship Id="rId6" Type="http://schemas.openxmlformats.org/officeDocument/2006/relationships/hyperlink" Target="https://www.nrel.gov/docs/fy21osti/80580.pdf" TargetMode="External"/><Relationship Id="rId11" Type="http://schemas.openxmlformats.org/officeDocument/2006/relationships/drawing" Target="../drawings/drawing8.xml"/><Relationship Id="rId5" Type="http://schemas.openxmlformats.org/officeDocument/2006/relationships/hyperlink" Target="https://www.nrel.gov/docs/fy21osti/80580.pdf" TargetMode="External"/><Relationship Id="rId10" Type="http://schemas.openxmlformats.org/officeDocument/2006/relationships/printerSettings" Target="../printerSettings/printerSettings8.bin"/><Relationship Id="rId4" Type="http://schemas.openxmlformats.org/officeDocument/2006/relationships/hyperlink" Target="https://hydrogencouncil.com/wp-content/uploads/2021/01/Hydrogen-Council-Report_Decarbonization-Pathways_Part-1-Lifecycle-Assessment.pdf" TargetMode="External"/><Relationship Id="rId9" Type="http://schemas.openxmlformats.org/officeDocument/2006/relationships/hyperlink" Target="https://www.eia.gov/energyexplained/oil-and-petroleum-products/refining-crude-oil-inputs-and-outputs.php" TargetMode="External"/><Relationship Id="rId1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omments" Target="../comments4.xml"/><Relationship Id="rId4"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6495B-7D47-4C24-B143-EE00F80D8B1C}">
  <sheetPr>
    <tabColor theme="1"/>
    <pageSetUpPr autoPageBreaks="0"/>
  </sheetPr>
  <dimension ref="A1:AD68"/>
  <sheetViews>
    <sheetView showGridLines="0" tabSelected="1" zoomScale="70" zoomScaleNormal="70" workbookViewId="0">
      <pane ySplit="1" topLeftCell="A2" activePane="bottomLeft" state="frozen"/>
      <selection pane="bottomLeft" activeCell="A2" sqref="A2"/>
      <selection activeCell="B16" sqref="B16"/>
    </sheetView>
  </sheetViews>
  <sheetFormatPr defaultColWidth="0" defaultRowHeight="13.5" customHeight="1" zeroHeight="1"/>
  <cols>
    <col min="1" max="1" width="13" customWidth="1"/>
    <col min="2" max="3" width="52.42578125" customWidth="1"/>
    <col min="4" max="4" width="60.28515625" customWidth="1"/>
    <col min="5" max="5" width="12.42578125" customWidth="1"/>
    <col min="6" max="6" width="130.140625" hidden="1" customWidth="1"/>
    <col min="7" max="29" width="10" hidden="1" customWidth="1"/>
    <col min="30" max="30" width="0" hidden="1" customWidth="1"/>
    <col min="31" max="16384" width="9.140625" hidden="1"/>
  </cols>
  <sheetData>
    <row r="1" spans="2:30" ht="99.75" customHeight="1">
      <c r="B1" s="16"/>
      <c r="C1" s="16"/>
      <c r="D1" s="16"/>
      <c r="E1" s="187" t="s">
        <v>0</v>
      </c>
      <c r="G1" s="3"/>
    </row>
    <row r="2" spans="2:30" ht="13.5" customHeight="1">
      <c r="F2" s="5"/>
    </row>
    <row r="3" spans="2:30" ht="13.5" customHeight="1">
      <c r="O3" s="6"/>
      <c r="P3" s="7"/>
      <c r="Q3" s="6"/>
      <c r="R3" s="7"/>
      <c r="S3" s="6"/>
      <c r="T3" s="7"/>
      <c r="U3" s="6"/>
      <c r="V3" s="6"/>
      <c r="W3" s="6"/>
      <c r="X3" s="6"/>
      <c r="Y3" s="6"/>
      <c r="Z3" s="6"/>
      <c r="AA3" s="6"/>
      <c r="AB3" s="6"/>
    </row>
    <row r="4" spans="2:30" ht="13.5" customHeight="1"/>
    <row r="5" spans="2:30" s="8" customFormat="1" ht="13.5" customHeight="1">
      <c r="G5" s="9"/>
      <c r="H5"/>
      <c r="I5" s="10"/>
      <c r="J5" s="10"/>
      <c r="K5" s="10"/>
      <c r="L5" s="10"/>
      <c r="M5" s="10"/>
      <c r="N5" s="10"/>
      <c r="O5" s="10"/>
      <c r="P5" s="10"/>
      <c r="Q5" s="10"/>
      <c r="R5" s="10"/>
      <c r="S5" s="10"/>
      <c r="T5" s="10"/>
      <c r="U5" s="10"/>
      <c r="V5" s="11"/>
      <c r="W5" s="11"/>
      <c r="X5" s="11"/>
      <c r="Y5" s="11"/>
      <c r="Z5" s="11"/>
      <c r="AA5" s="11"/>
      <c r="AB5" s="11"/>
      <c r="AD5" s="8" t="s">
        <v>1</v>
      </c>
    </row>
    <row r="6" spans="2:30" ht="13.5" customHeight="1">
      <c r="G6" s="4"/>
      <c r="H6" s="4"/>
      <c r="I6" s="4"/>
      <c r="J6" s="4"/>
      <c r="K6" s="4"/>
      <c r="L6" s="4"/>
      <c r="M6" s="4"/>
      <c r="N6" s="4"/>
      <c r="O6" s="4"/>
      <c r="P6" s="4"/>
      <c r="Q6" s="4"/>
      <c r="R6" s="4"/>
      <c r="S6" s="4"/>
      <c r="AD6" s="8" t="s">
        <v>2</v>
      </c>
    </row>
    <row r="7" spans="2:30" ht="13.5" customHeight="1">
      <c r="G7" s="1"/>
      <c r="H7" s="1"/>
      <c r="I7" s="1"/>
      <c r="J7" s="1"/>
      <c r="K7" s="1"/>
      <c r="L7" s="1"/>
      <c r="M7" s="1"/>
      <c r="N7" s="1"/>
      <c r="O7" s="1"/>
      <c r="P7" s="1"/>
      <c r="Q7" s="1"/>
      <c r="R7" s="1"/>
      <c r="S7" s="1"/>
      <c r="T7" s="10"/>
      <c r="U7" s="10"/>
      <c r="V7" s="11"/>
      <c r="W7" s="11"/>
      <c r="X7" s="11"/>
      <c r="Y7" s="11"/>
      <c r="Z7" s="11"/>
      <c r="AA7" s="11"/>
      <c r="AB7" s="11"/>
      <c r="AC7" s="8"/>
    </row>
    <row r="8" spans="2:30" ht="13.5" customHeight="1">
      <c r="G8" s="10"/>
      <c r="H8" s="10"/>
      <c r="I8" s="10"/>
      <c r="J8" s="10"/>
      <c r="K8" s="10"/>
      <c r="L8" s="10"/>
      <c r="M8" s="10"/>
      <c r="N8" s="10"/>
      <c r="O8" s="10"/>
      <c r="P8" s="10"/>
      <c r="Q8" s="10"/>
      <c r="R8" s="10"/>
      <c r="S8" s="10"/>
      <c r="AD8" t="s">
        <v>3</v>
      </c>
    </row>
    <row r="9" spans="2:30" ht="13.5" customHeight="1">
      <c r="G9" s="13"/>
      <c r="H9" s="13"/>
      <c r="I9" s="13"/>
      <c r="J9" s="1"/>
      <c r="K9" s="13"/>
      <c r="L9" s="13"/>
      <c r="M9" s="13"/>
      <c r="N9" s="13"/>
      <c r="O9" s="13"/>
      <c r="P9" s="13"/>
      <c r="Q9" s="13"/>
      <c r="R9" s="13"/>
      <c r="S9" s="13"/>
      <c r="T9" s="10"/>
      <c r="U9" s="10"/>
      <c r="V9" s="11"/>
      <c r="W9" s="11"/>
      <c r="X9" s="11"/>
      <c r="Y9" s="11"/>
      <c r="Z9" s="11"/>
      <c r="AA9" s="11"/>
      <c r="AB9" s="11"/>
      <c r="AC9" s="8"/>
    </row>
    <row r="10" spans="2:30" ht="13.5" customHeight="1">
      <c r="G10" s="13"/>
      <c r="H10" s="13"/>
      <c r="I10" s="13"/>
      <c r="J10" s="13"/>
      <c r="K10" s="13"/>
      <c r="L10" s="13"/>
      <c r="M10" s="13"/>
      <c r="N10" s="13"/>
      <c r="P10" s="13"/>
      <c r="Q10" s="13"/>
      <c r="R10" s="13"/>
      <c r="S10" s="13"/>
    </row>
    <row r="11" spans="2:30" ht="13.5" customHeight="1">
      <c r="G11" s="14"/>
      <c r="H11" s="14"/>
      <c r="I11" s="14"/>
      <c r="J11" s="14"/>
      <c r="K11" s="14"/>
      <c r="L11" s="13"/>
      <c r="M11" s="13"/>
      <c r="O11" s="13"/>
      <c r="P11" s="13"/>
      <c r="Q11" s="13"/>
      <c r="R11" s="13"/>
      <c r="S11" s="13"/>
      <c r="T11" s="10"/>
      <c r="U11" s="10"/>
      <c r="V11" s="11"/>
      <c r="W11" s="11"/>
      <c r="X11" s="11"/>
      <c r="Y11" s="11"/>
      <c r="Z11" s="11"/>
      <c r="AA11" s="11"/>
      <c r="AB11" s="11"/>
      <c r="AC11" s="8"/>
    </row>
    <row r="12" spans="2:30" ht="13.5" customHeight="1">
      <c r="G12" s="1"/>
      <c r="H12" s="1"/>
      <c r="I12" s="1"/>
      <c r="J12" s="1"/>
      <c r="K12" s="1"/>
      <c r="L12" s="1"/>
      <c r="M12" s="1"/>
      <c r="N12" s="1"/>
      <c r="O12" s="1"/>
      <c r="P12" s="1"/>
      <c r="Q12" s="1"/>
      <c r="R12" s="1"/>
      <c r="S12" s="1"/>
    </row>
    <row r="13" spans="2:30" s="8" customFormat="1" ht="13.5" customHeight="1">
      <c r="G13" s="15"/>
      <c r="H13" s="15"/>
      <c r="I13" s="15"/>
      <c r="J13" s="15"/>
      <c r="K13" s="15"/>
      <c r="L13" s="15"/>
      <c r="M13" s="15"/>
      <c r="N13" s="15"/>
      <c r="O13" s="15"/>
      <c r="P13" s="15"/>
      <c r="Q13" s="15"/>
      <c r="R13" s="15"/>
      <c r="S13" s="15"/>
      <c r="T13" s="10"/>
      <c r="U13" s="10"/>
      <c r="V13" s="11"/>
      <c r="W13" s="11"/>
      <c r="X13" s="11"/>
      <c r="Y13" s="11"/>
      <c r="Z13" s="11"/>
      <c r="AA13" s="11"/>
      <c r="AB13" s="11"/>
    </row>
    <row r="14" spans="2:30" ht="13.5" customHeight="1">
      <c r="G14" s="4"/>
      <c r="H14" s="4"/>
      <c r="I14" s="4"/>
      <c r="J14" s="4"/>
      <c r="K14" s="4"/>
      <c r="L14" s="4"/>
      <c r="M14" s="4"/>
      <c r="N14" s="4"/>
      <c r="O14" s="4"/>
      <c r="P14" s="4"/>
      <c r="Q14" s="4"/>
      <c r="R14" s="4"/>
      <c r="S14" s="4"/>
    </row>
    <row r="15" spans="2:30" ht="13.5" customHeight="1">
      <c r="G15" s="12"/>
      <c r="H15" s="12"/>
      <c r="I15" s="12"/>
      <c r="J15" s="12"/>
      <c r="K15" s="12"/>
      <c r="L15" s="12"/>
      <c r="M15" s="12"/>
      <c r="N15" s="12"/>
      <c r="O15" s="12"/>
      <c r="P15" s="12"/>
      <c r="Q15" s="12"/>
      <c r="R15" s="12"/>
      <c r="S15" s="12"/>
      <c r="T15" s="10"/>
      <c r="U15" s="10"/>
      <c r="V15" s="11"/>
      <c r="W15" s="11"/>
      <c r="X15" s="11"/>
      <c r="Y15" s="11"/>
      <c r="Z15" s="11"/>
      <c r="AA15" s="11"/>
      <c r="AB15" s="11"/>
      <c r="AC15" s="8"/>
    </row>
    <row r="16" spans="2:30" s="8" customFormat="1" ht="13.5" customHeight="1">
      <c r="G16" s="15"/>
      <c r="H16" s="15"/>
      <c r="I16" s="15"/>
      <c r="J16" s="15"/>
      <c r="K16" s="15"/>
      <c r="L16" s="15"/>
      <c r="M16" s="15"/>
      <c r="N16" s="15"/>
      <c r="O16" s="15"/>
      <c r="P16" s="15"/>
      <c r="Q16" s="15"/>
      <c r="R16" s="15"/>
      <c r="S16" s="15"/>
      <c r="T16"/>
      <c r="U16"/>
      <c r="V16"/>
      <c r="W16"/>
      <c r="X16"/>
      <c r="Y16"/>
      <c r="Z16"/>
      <c r="AA16"/>
      <c r="AB16"/>
      <c r="AC16"/>
    </row>
    <row r="17" spans="2:29" ht="13.5" customHeight="1">
      <c r="G17" s="4"/>
      <c r="H17" s="4"/>
      <c r="I17" s="4"/>
      <c r="J17" s="4"/>
      <c r="K17" s="4"/>
      <c r="L17" s="4"/>
      <c r="M17" s="4"/>
      <c r="N17" s="4"/>
      <c r="O17" s="4"/>
      <c r="P17" s="4"/>
      <c r="Q17" s="4"/>
      <c r="R17" s="4"/>
      <c r="S17" s="4"/>
      <c r="T17" s="10"/>
      <c r="U17" s="10"/>
      <c r="V17" s="11"/>
      <c r="W17" s="11"/>
      <c r="X17" s="11"/>
      <c r="Y17" s="11"/>
      <c r="Z17" s="11"/>
      <c r="AA17" s="11"/>
      <c r="AB17" s="11"/>
      <c r="AC17" s="8"/>
    </row>
    <row r="18" spans="2:29" ht="13.5" customHeight="1">
      <c r="G18" s="12"/>
      <c r="H18" s="12"/>
      <c r="I18" s="12"/>
      <c r="J18" s="12"/>
      <c r="K18" s="12"/>
      <c r="L18" s="12"/>
      <c r="M18" s="12"/>
      <c r="N18" s="12"/>
      <c r="O18" s="12"/>
      <c r="P18" s="12"/>
      <c r="Q18" s="12"/>
      <c r="R18" s="12"/>
      <c r="S18" s="12"/>
    </row>
    <row r="19" spans="2:29" s="8" customFormat="1" ht="13.5" customHeight="1">
      <c r="G19" s="15"/>
      <c r="H19" s="15"/>
      <c r="I19" s="15"/>
      <c r="J19" s="15"/>
      <c r="K19" s="15"/>
      <c r="L19" s="15"/>
      <c r="M19" s="15"/>
      <c r="N19" s="15"/>
      <c r="O19" s="15"/>
      <c r="P19" s="15"/>
      <c r="Q19" s="15"/>
      <c r="R19" s="15"/>
      <c r="S19" s="15"/>
      <c r="T19" s="10"/>
      <c r="U19" s="10"/>
      <c r="V19" s="11"/>
      <c r="W19" s="11"/>
      <c r="X19" s="11"/>
      <c r="Y19" s="11"/>
      <c r="Z19" s="11"/>
      <c r="AA19" s="11"/>
      <c r="AB19" s="11"/>
    </row>
    <row r="20" spans="2:29" s="101" customFormat="1" ht="173.25" customHeight="1">
      <c r="B20" s="355" t="s">
        <v>4</v>
      </c>
      <c r="C20" s="355"/>
      <c r="D20" s="355"/>
      <c r="G20" s="124"/>
      <c r="H20" s="124"/>
      <c r="I20" s="124"/>
      <c r="J20" s="124"/>
      <c r="K20" s="124"/>
      <c r="L20" s="124"/>
      <c r="M20" s="124"/>
      <c r="N20" s="124"/>
      <c r="O20" s="124"/>
      <c r="P20" s="124"/>
      <c r="Q20" s="124"/>
      <c r="R20" s="124"/>
      <c r="S20" s="124"/>
    </row>
    <row r="21" spans="2:29" ht="13.5" customHeight="1"/>
    <row r="22" spans="2:29" ht="13.5" customHeight="1"/>
    <row r="23" spans="2:29" ht="13.5" customHeight="1"/>
    <row r="24" spans="2:29" ht="13.5" customHeight="1"/>
    <row r="25" spans="2:29" ht="13.5" customHeight="1"/>
    <row r="26" spans="2:29" ht="13.5" customHeight="1"/>
    <row r="27" spans="2:29" ht="13.5" customHeight="1"/>
    <row r="28" spans="2:29" ht="13.5" customHeight="1"/>
    <row r="29" spans="2:29" ht="13.5" customHeight="1"/>
    <row r="30" spans="2:29" ht="13.5" customHeight="1"/>
    <row r="31" spans="2:29" ht="13.5" customHeight="1"/>
    <row r="32" spans="2:29"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sheetData>
  <sheetProtection selectLockedCells="1" selectUnlockedCells="1"/>
  <mergeCells count="1">
    <mergeCell ref="B20:D20"/>
  </mergeCells>
  <pageMargins left="0.7" right="0.7" top="0.75" bottom="0.75" header="0.3" footer="0.3"/>
  <pageSetup scale="50"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P46"/>
  <sheetViews>
    <sheetView showGridLines="0" zoomScale="70" zoomScaleNormal="70" workbookViewId="0">
      <pane ySplit="1" topLeftCell="A2" activePane="bottomLeft" state="frozen"/>
      <selection pane="bottomLeft" activeCell="A2" sqref="A2"/>
      <selection activeCell="B16" sqref="B16"/>
    </sheetView>
  </sheetViews>
  <sheetFormatPr defaultColWidth="0" defaultRowHeight="13.15" zeroHeight="1"/>
  <cols>
    <col min="1" max="1" width="9.140625" style="17" customWidth="1"/>
    <col min="2" max="2" width="55.85546875" style="17" customWidth="1"/>
    <col min="3" max="3" width="18.85546875" style="17" customWidth="1"/>
    <col min="4" max="4" width="27.140625" style="17" customWidth="1"/>
    <col min="5" max="5" width="45.42578125" style="17" customWidth="1"/>
    <col min="6" max="6" width="33.85546875" style="17" customWidth="1"/>
    <col min="7" max="7" width="27.42578125" style="17" customWidth="1"/>
    <col min="8" max="8" width="39.85546875" style="17" bestFit="1" customWidth="1"/>
    <col min="9" max="9" width="37" style="17" customWidth="1"/>
    <col min="10" max="10" width="9.140625" style="17" customWidth="1"/>
    <col min="11" max="16" width="0" style="17" hidden="1" customWidth="1"/>
    <col min="17" max="16384" width="9.140625" style="17" hidden="1"/>
  </cols>
  <sheetData>
    <row r="1" spans="2:16" ht="99.75" customHeight="1">
      <c r="B1" s="247"/>
      <c r="C1" s="247"/>
      <c r="D1" s="247"/>
      <c r="E1" s="247"/>
      <c r="F1" s="247"/>
      <c r="G1" s="247"/>
      <c r="H1" s="247"/>
      <c r="I1" s="247"/>
      <c r="J1" s="247"/>
      <c r="K1" s="247"/>
      <c r="L1" s="247"/>
      <c r="M1" s="247"/>
      <c r="N1" s="247"/>
      <c r="O1" s="247"/>
      <c r="P1" s="247"/>
    </row>
    <row r="2" spans="2:16" ht="24.6">
      <c r="B2" s="24" t="s">
        <v>446</v>
      </c>
      <c r="C2" s="247"/>
      <c r="D2" s="247"/>
      <c r="E2" s="247"/>
      <c r="F2" s="247"/>
      <c r="G2" s="247"/>
      <c r="H2" s="247"/>
      <c r="I2" s="247"/>
      <c r="J2" s="247"/>
      <c r="K2" s="247"/>
      <c r="L2" s="247"/>
      <c r="M2" s="247"/>
      <c r="N2" s="247"/>
      <c r="O2" s="247"/>
      <c r="P2" s="247"/>
    </row>
    <row r="3" spans="2:16">
      <c r="B3" s="45" t="s">
        <v>252</v>
      </c>
      <c r="C3" s="247"/>
      <c r="D3" s="247"/>
      <c r="E3" s="247"/>
      <c r="F3" s="247"/>
      <c r="G3" s="247"/>
      <c r="H3" s="247"/>
      <c r="I3" s="247"/>
      <c r="J3" s="247"/>
      <c r="K3" s="247"/>
      <c r="L3" s="247"/>
      <c r="M3" s="247"/>
      <c r="N3" s="247"/>
      <c r="O3" s="247"/>
      <c r="P3" s="247"/>
    </row>
    <row r="4" spans="2:16">
      <c r="B4" s="247"/>
      <c r="C4" s="247"/>
      <c r="D4" s="247"/>
      <c r="E4" s="247"/>
      <c r="F4" s="247"/>
      <c r="G4" s="247"/>
      <c r="H4" s="247"/>
      <c r="I4" s="247"/>
      <c r="J4" s="247"/>
      <c r="K4" s="247"/>
      <c r="L4" s="247"/>
      <c r="M4" s="247"/>
      <c r="N4" s="247"/>
      <c r="O4" s="247"/>
      <c r="P4" s="247"/>
    </row>
    <row r="5" spans="2:16" ht="13.9" thickBot="1">
      <c r="B5" s="66" t="s">
        <v>342</v>
      </c>
      <c r="C5" s="66"/>
      <c r="D5" s="66" t="s">
        <v>343</v>
      </c>
      <c r="E5" s="66"/>
      <c r="F5" s="66"/>
      <c r="G5" s="66"/>
      <c r="H5" s="66"/>
      <c r="I5" s="66"/>
      <c r="J5" s="247"/>
      <c r="K5" s="66"/>
      <c r="L5" s="66"/>
      <c r="M5" s="66"/>
      <c r="N5" s="66"/>
      <c r="O5" s="66"/>
      <c r="P5" s="66"/>
    </row>
    <row r="6" spans="2:16">
      <c r="B6" s="284" t="s">
        <v>163</v>
      </c>
      <c r="C6" s="295">
        <f>D38/1000000</f>
        <v>4.0679606348060862</v>
      </c>
      <c r="D6" s="43" t="s">
        <v>447</v>
      </c>
      <c r="E6" s="247"/>
      <c r="F6" s="247"/>
      <c r="G6" s="247"/>
      <c r="H6" s="247"/>
      <c r="I6" s="247"/>
      <c r="J6" s="247"/>
      <c r="K6" s="247"/>
      <c r="L6" s="247"/>
      <c r="M6" s="247"/>
      <c r="N6" s="247"/>
      <c r="O6" s="247"/>
      <c r="P6" s="247"/>
    </row>
    <row r="7" spans="2:16" ht="15.6">
      <c r="B7" s="296" t="s">
        <v>345</v>
      </c>
      <c r="C7" s="297">
        <f>F38</f>
        <v>243.09874839752598</v>
      </c>
      <c r="D7" s="43" t="s">
        <v>448</v>
      </c>
      <c r="E7" s="247"/>
      <c r="F7" s="247"/>
      <c r="G7" s="247"/>
      <c r="H7" s="247"/>
      <c r="I7" s="247"/>
      <c r="J7" s="247"/>
      <c r="K7" s="247"/>
      <c r="L7" s="247"/>
      <c r="M7" s="247"/>
      <c r="N7" s="247"/>
      <c r="O7" s="247"/>
      <c r="P7" s="247"/>
    </row>
    <row r="8" spans="2:16">
      <c r="B8" s="49" t="s">
        <v>347</v>
      </c>
      <c r="C8" s="50">
        <f>IF(C6&gt;0,C7/C6)</f>
        <v>59.759365987354045</v>
      </c>
      <c r="D8" s="43" t="s">
        <v>348</v>
      </c>
      <c r="E8" s="247"/>
      <c r="F8" s="247"/>
      <c r="G8" s="247"/>
      <c r="H8" s="247"/>
      <c r="I8" s="247"/>
      <c r="J8" s="247"/>
      <c r="K8" s="247"/>
      <c r="L8" s="247"/>
      <c r="M8" s="247"/>
      <c r="N8" s="247"/>
      <c r="O8" s="247"/>
      <c r="P8" s="247"/>
    </row>
    <row r="9" spans="2:16">
      <c r="B9" s="247"/>
      <c r="C9" s="247"/>
      <c r="D9" s="247"/>
      <c r="E9" s="247"/>
      <c r="F9" s="247"/>
      <c r="G9" s="247"/>
      <c r="H9" s="247"/>
      <c r="I9" s="247"/>
      <c r="J9" s="247"/>
      <c r="K9" s="247"/>
      <c r="L9" s="247"/>
      <c r="M9" s="247"/>
      <c r="N9" s="247"/>
      <c r="O9" s="247"/>
      <c r="P9" s="247"/>
    </row>
    <row r="10" spans="2:16">
      <c r="B10" s="60" t="s">
        <v>349</v>
      </c>
      <c r="C10" s="60"/>
      <c r="D10" s="60"/>
      <c r="E10" s="60"/>
      <c r="F10" s="60"/>
      <c r="G10" s="60"/>
      <c r="H10" s="60"/>
      <c r="I10" s="60"/>
      <c r="J10" s="247"/>
      <c r="K10" s="247"/>
      <c r="L10" s="247"/>
      <c r="M10" s="247"/>
      <c r="N10" s="247"/>
      <c r="O10" s="247"/>
      <c r="P10" s="247"/>
    </row>
    <row r="11" spans="2:16">
      <c r="B11" s="73" t="s">
        <v>350</v>
      </c>
      <c r="C11" s="72" t="s">
        <v>167</v>
      </c>
      <c r="D11" s="73" t="s">
        <v>343</v>
      </c>
      <c r="E11" s="73"/>
      <c r="F11" s="73"/>
      <c r="G11" s="73"/>
      <c r="H11" s="73"/>
      <c r="I11" s="73"/>
      <c r="J11" s="247"/>
      <c r="K11" s="247"/>
      <c r="L11" s="247"/>
      <c r="M11" s="247"/>
      <c r="N11" s="247"/>
      <c r="O11" s="247"/>
      <c r="P11" s="247"/>
    </row>
    <row r="12" spans="2:16">
      <c r="B12" s="284" t="s">
        <v>166</v>
      </c>
      <c r="C12" s="27">
        <f>Dashboard!C10</f>
        <v>7677</v>
      </c>
      <c r="D12" s="43" t="s">
        <v>351</v>
      </c>
      <c r="E12" s="247"/>
      <c r="F12" s="247"/>
      <c r="G12" s="247"/>
      <c r="H12" s="247"/>
      <c r="I12" s="247"/>
      <c r="J12" s="247"/>
      <c r="K12" s="247"/>
      <c r="L12" s="247"/>
      <c r="M12" s="247"/>
      <c r="N12" s="247"/>
      <c r="O12" s="247"/>
      <c r="P12" s="247"/>
    </row>
    <row r="13" spans="2:16">
      <c r="B13" s="284" t="s">
        <v>449</v>
      </c>
      <c r="C13" s="27">
        <f>Dashboard!C11</f>
        <v>570</v>
      </c>
      <c r="D13" s="43" t="s">
        <v>351</v>
      </c>
      <c r="E13" s="247"/>
      <c r="F13" s="247"/>
      <c r="G13" s="247"/>
      <c r="H13" s="247"/>
      <c r="I13" s="247"/>
      <c r="J13" s="247"/>
      <c r="K13" s="247"/>
      <c r="L13" s="247"/>
      <c r="M13" s="247"/>
      <c r="N13" s="247"/>
      <c r="O13" s="247"/>
      <c r="P13" s="247"/>
    </row>
    <row r="14" spans="2:16">
      <c r="B14" s="284" t="s">
        <v>450</v>
      </c>
      <c r="C14" s="27">
        <f>Dashboard!C24</f>
        <v>10167</v>
      </c>
      <c r="D14" s="43" t="s">
        <v>351</v>
      </c>
      <c r="E14" s="247"/>
      <c r="F14" s="247"/>
      <c r="G14" s="247"/>
      <c r="H14" s="247"/>
      <c r="I14" s="247"/>
      <c r="J14" s="247"/>
      <c r="K14" s="247"/>
      <c r="L14" s="247"/>
      <c r="M14" s="247"/>
      <c r="N14" s="247"/>
      <c r="O14" s="247"/>
      <c r="P14" s="247"/>
    </row>
    <row r="15" spans="2:16">
      <c r="B15" s="284" t="s">
        <v>451</v>
      </c>
      <c r="C15" s="27">
        <f>Dashboard!C27</f>
        <v>0</v>
      </c>
      <c r="D15" s="43" t="s">
        <v>351</v>
      </c>
      <c r="E15" s="247"/>
      <c r="F15" s="247"/>
      <c r="G15" s="247"/>
      <c r="H15" s="247"/>
      <c r="I15" s="247"/>
      <c r="J15" s="247"/>
      <c r="K15" s="247"/>
      <c r="L15" s="247"/>
      <c r="M15" s="247"/>
      <c r="N15" s="247"/>
      <c r="O15" s="247"/>
      <c r="P15" s="247"/>
    </row>
    <row r="16" spans="2:16">
      <c r="B16" s="247"/>
      <c r="C16" s="247"/>
      <c r="D16" s="247"/>
      <c r="E16" s="247"/>
      <c r="F16" s="247"/>
      <c r="G16" s="247"/>
      <c r="H16" s="247"/>
      <c r="I16" s="247"/>
      <c r="J16" s="247"/>
      <c r="K16" s="247"/>
      <c r="L16" s="247"/>
      <c r="M16" s="247"/>
      <c r="N16" s="247"/>
      <c r="O16" s="247"/>
      <c r="P16" s="247"/>
    </row>
    <row r="17" spans="2:16">
      <c r="B17" s="60" t="s">
        <v>359</v>
      </c>
      <c r="C17" s="60"/>
      <c r="D17" s="60"/>
      <c r="E17" s="60"/>
      <c r="F17" s="60"/>
      <c r="G17" s="60"/>
      <c r="H17" s="60"/>
      <c r="I17" s="60"/>
      <c r="J17" s="247"/>
      <c r="K17" s="247"/>
      <c r="L17" s="247"/>
      <c r="M17" s="247"/>
      <c r="N17" s="247"/>
      <c r="O17" s="247"/>
      <c r="P17" s="247"/>
    </row>
    <row r="18" spans="2:16">
      <c r="B18" s="73" t="s">
        <v>67</v>
      </c>
      <c r="C18" s="72" t="s">
        <v>360</v>
      </c>
      <c r="D18" s="73" t="s">
        <v>254</v>
      </c>
      <c r="E18" s="298"/>
      <c r="F18" s="298"/>
      <c r="G18" s="298"/>
      <c r="H18" s="298"/>
      <c r="I18" s="298"/>
      <c r="J18" s="247"/>
      <c r="K18" s="247"/>
      <c r="L18" s="247"/>
      <c r="M18" s="247"/>
      <c r="N18" s="247"/>
      <c r="O18" s="247"/>
      <c r="P18" s="247"/>
    </row>
    <row r="19" spans="2:16">
      <c r="B19" s="284" t="s">
        <v>264</v>
      </c>
      <c r="C19" s="27">
        <v>1039</v>
      </c>
      <c r="D19" s="216" t="str">
        <f>IF(Dashboard!$S$2=TRUE,Factors!E15,Factors!G15)</f>
        <v>EIA factor based on average value delivered to U.S. consumers in 2021: 
https://www.eia.gov/energyexplained/units-and-calculators/energy-conversion-calculators.php</v>
      </c>
      <c r="E19" s="247"/>
      <c r="F19" s="247"/>
      <c r="G19" s="247"/>
      <c r="H19" s="247"/>
      <c r="I19" s="247"/>
      <c r="J19" s="247"/>
      <c r="K19" s="247"/>
      <c r="L19" s="247"/>
      <c r="M19" s="247"/>
      <c r="N19" s="247"/>
      <c r="O19" s="247"/>
      <c r="P19" s="247"/>
    </row>
    <row r="20" spans="2:16">
      <c r="B20" s="284" t="s">
        <v>266</v>
      </c>
      <c r="C20" s="27">
        <f>IF(Dashboard!$S$2=TRUE,Factors!D16,Factors!F16)</f>
        <v>933</v>
      </c>
      <c r="D20" s="216" t="str">
        <f>IF(Dashboard!$S$2=TRUE,Factors!E16,Factors!G16)</f>
        <v>LHV assumed to be ~90% of NG HHV above, per note under API Compendium (2021) Table 3-8</v>
      </c>
      <c r="E20" s="247"/>
      <c r="F20" s="247"/>
      <c r="G20" s="247"/>
      <c r="H20" s="247"/>
      <c r="I20" s="247"/>
      <c r="J20" s="247"/>
      <c r="K20" s="247"/>
      <c r="L20" s="247"/>
      <c r="M20" s="247"/>
      <c r="N20" s="247"/>
      <c r="O20" s="247"/>
      <c r="P20" s="247"/>
    </row>
    <row r="21" spans="2:16">
      <c r="B21" s="284" t="s">
        <v>361</v>
      </c>
      <c r="C21" s="27">
        <f>IF(Dashboard!$S$2=TRUE,Factors!D10,Factors!F10)</f>
        <v>365</v>
      </c>
      <c r="D21" s="218" t="str">
        <f>IF(Dashboard!$S$2=TRUE,Factors!E10,Factors!G10)</f>
        <v>Days in the year (non-leap year)</v>
      </c>
      <c r="E21" s="247"/>
      <c r="F21" s="247"/>
      <c r="G21" s="247"/>
      <c r="H21" s="247"/>
      <c r="I21" s="247"/>
      <c r="J21" s="247"/>
      <c r="K21" s="247"/>
      <c r="L21" s="247"/>
      <c r="M21" s="247"/>
      <c r="N21" s="247"/>
      <c r="O21" s="247"/>
      <c r="P21" s="247"/>
    </row>
    <row r="22" spans="2:16">
      <c r="B22" s="284" t="s">
        <v>259</v>
      </c>
      <c r="C22" s="27">
        <f>IF(Dashboard!$S$2=TRUE,Factors!D11,Factors!F11)</f>
        <v>947.81700000000001</v>
      </c>
      <c r="D22" s="216" t="str">
        <f>IF(Dashboard!$S$2=TRUE,Factors!E11,Factors!G11)</f>
        <v>Unit conversion</v>
      </c>
      <c r="E22" s="247"/>
      <c r="F22" s="247"/>
      <c r="G22" s="247"/>
      <c r="H22" s="247"/>
      <c r="I22" s="247"/>
      <c r="J22" s="247"/>
      <c r="K22" s="247"/>
      <c r="L22" s="247"/>
      <c r="M22" s="247"/>
      <c r="N22" s="247"/>
      <c r="O22" s="247"/>
      <c r="P22" s="247"/>
    </row>
    <row r="23" spans="2:16">
      <c r="B23" s="284" t="s">
        <v>268</v>
      </c>
      <c r="C23" s="27">
        <f>IF(Dashboard!$S$2=TRUE,Factors!D17,Factors!F17)</f>
        <v>6</v>
      </c>
      <c r="D23" s="216" t="str">
        <f>IF(Dashboard!$S$2=TRUE,Factors!E17,Factors!G17)</f>
        <v>Unit conversion</v>
      </c>
      <c r="E23" s="247"/>
      <c r="F23" s="247"/>
      <c r="G23" s="247"/>
      <c r="H23" s="247"/>
      <c r="I23" s="247"/>
      <c r="J23" s="247"/>
      <c r="K23" s="247"/>
      <c r="L23" s="247"/>
      <c r="M23" s="247"/>
      <c r="N23" s="247"/>
      <c r="O23" s="247"/>
      <c r="P23" s="247"/>
    </row>
    <row r="24" spans="2:16">
      <c r="B24" s="247"/>
      <c r="C24" s="247"/>
      <c r="D24" s="247"/>
      <c r="E24" s="247"/>
      <c r="F24" s="247"/>
      <c r="G24" s="247"/>
      <c r="H24" s="247"/>
      <c r="I24" s="247"/>
      <c r="J24" s="247"/>
      <c r="K24" s="247"/>
      <c r="L24" s="247"/>
      <c r="M24" s="247"/>
      <c r="N24" s="247"/>
      <c r="O24" s="247"/>
      <c r="P24" s="247"/>
    </row>
    <row r="25" spans="2:16">
      <c r="B25" s="60" t="s">
        <v>279</v>
      </c>
      <c r="C25" s="60"/>
      <c r="D25" s="60"/>
      <c r="E25" s="60"/>
      <c r="F25" s="60"/>
      <c r="G25" s="60"/>
      <c r="H25" s="60"/>
      <c r="I25" s="60"/>
      <c r="J25" s="247"/>
      <c r="K25" s="247"/>
      <c r="L25" s="247"/>
      <c r="M25" s="247"/>
      <c r="N25" s="247"/>
      <c r="O25" s="247"/>
      <c r="P25" s="247"/>
    </row>
    <row r="26" spans="2:16">
      <c r="B26" s="72" t="s">
        <v>287</v>
      </c>
      <c r="C26" s="72" t="s">
        <v>360</v>
      </c>
      <c r="D26" s="72" t="s">
        <v>155</v>
      </c>
      <c r="E26" s="73" t="s">
        <v>254</v>
      </c>
      <c r="F26" s="72" t="s">
        <v>360</v>
      </c>
      <c r="G26" s="72" t="s">
        <v>155</v>
      </c>
      <c r="H26" s="72" t="s">
        <v>452</v>
      </c>
      <c r="I26" s="72"/>
      <c r="J26" s="247"/>
      <c r="K26" s="247"/>
      <c r="L26" s="247"/>
      <c r="M26" s="247"/>
      <c r="N26" s="247"/>
      <c r="O26" s="247"/>
      <c r="P26" s="247"/>
    </row>
    <row r="27" spans="2:16" ht="15.6">
      <c r="B27" s="284" t="s">
        <v>453</v>
      </c>
      <c r="C27" s="102">
        <f>IF(Dashboard!$S$2=TRUE,Factors!D40,Factors!F40)</f>
        <v>29.705571971295907</v>
      </c>
      <c r="D27" s="271" t="s">
        <v>173</v>
      </c>
      <c r="E27" s="215" t="s">
        <v>454</v>
      </c>
      <c r="F27" s="295">
        <f>C27/$C$23</f>
        <v>4.9509286618826511</v>
      </c>
      <c r="G27" s="271" t="s">
        <v>455</v>
      </c>
      <c r="H27" s="382" t="s">
        <v>456</v>
      </c>
      <c r="I27" s="382"/>
      <c r="J27" s="247"/>
      <c r="K27" s="247"/>
      <c r="L27" s="247"/>
      <c r="M27" s="247"/>
      <c r="N27" s="247"/>
      <c r="O27" s="247"/>
      <c r="P27" s="247"/>
    </row>
    <row r="28" spans="2:16" ht="15.6">
      <c r="B28" s="284" t="s">
        <v>457</v>
      </c>
      <c r="C28" s="74">
        <f>IF(Dashboard!$S$2=TRUE,Factors!D41,Factors!F41)</f>
        <v>67</v>
      </c>
      <c r="D28" s="271" t="s">
        <v>173</v>
      </c>
      <c r="E28" s="215" t="str">
        <f>IF(Dashboard!$S$2=TRUE,Factors!E41,Factors!G41)</f>
        <v>Chevron Internal Analysis of IEA World Energy Outlook 2018</v>
      </c>
      <c r="F28" s="295">
        <f>C28/$C$23</f>
        <v>11.166666666666666</v>
      </c>
      <c r="G28" s="271" t="s">
        <v>455</v>
      </c>
      <c r="H28" s="382" t="s">
        <v>456</v>
      </c>
      <c r="I28" s="382"/>
      <c r="J28" s="247"/>
      <c r="K28" s="247"/>
      <c r="L28" s="247"/>
      <c r="M28" s="247"/>
      <c r="N28" s="247"/>
      <c r="O28" s="247"/>
      <c r="P28" s="247"/>
    </row>
    <row r="29" spans="2:16" ht="15.6">
      <c r="B29" s="284" t="s">
        <v>458</v>
      </c>
      <c r="C29" s="74">
        <f>IF(Dashboard!$S$2=TRUE,Factors!D42,Factors!F42)</f>
        <v>40</v>
      </c>
      <c r="D29" s="271" t="s">
        <v>173</v>
      </c>
      <c r="E29" s="215" t="str">
        <f>IF(Dashboard!$S$2=TRUE,Factors!E42,Factors!G42)</f>
        <v>Chevron Internal Analysis of IEA World Energy Outlook 2018</v>
      </c>
      <c r="F29" s="295">
        <f>C29/$C$23</f>
        <v>6.666666666666667</v>
      </c>
      <c r="G29" s="271" t="s">
        <v>455</v>
      </c>
      <c r="H29" s="382" t="s">
        <v>456</v>
      </c>
      <c r="I29" s="382"/>
      <c r="J29" s="247"/>
      <c r="K29" s="247"/>
      <c r="L29" s="247"/>
      <c r="M29" s="247"/>
      <c r="N29" s="247"/>
      <c r="O29" s="247"/>
      <c r="P29" s="247"/>
    </row>
    <row r="30" spans="2:16" s="228" customFormat="1" ht="15.6">
      <c r="B30" s="332" t="s">
        <v>459</v>
      </c>
      <c r="C30" s="80">
        <f>IF(Dashboard!$S$2=TRUE,Factors!D43,Factors!F43)</f>
        <v>22</v>
      </c>
      <c r="D30" s="278" t="s">
        <v>173</v>
      </c>
      <c r="E30" s="230" t="str">
        <f>IF(Dashboard!$S$2=TRUE,Factors!E43,Factors!G43)</f>
        <v>Chevron Internal Analysis of IEA World Energy Outlook 2018</v>
      </c>
      <c r="F30" s="333">
        <f>C30/$C$23</f>
        <v>3.6666666666666665</v>
      </c>
      <c r="G30" s="278" t="s">
        <v>455</v>
      </c>
      <c r="H30" s="386" t="s">
        <v>456</v>
      </c>
      <c r="I30" s="386"/>
      <c r="J30" s="270"/>
      <c r="K30" s="270"/>
      <c r="L30" s="270"/>
      <c r="M30" s="270"/>
      <c r="N30" s="270"/>
      <c r="O30" s="270"/>
      <c r="P30" s="270"/>
    </row>
    <row r="31" spans="2:16" ht="22.15">
      <c r="B31" s="284" t="s">
        <v>460</v>
      </c>
      <c r="C31" s="182">
        <f>IF(Dashboard!$S$2=TRUE,Factors!D44,Factors!F44)</f>
        <v>5.2954800000000003E-2</v>
      </c>
      <c r="D31" s="271" t="s">
        <v>461</v>
      </c>
      <c r="E31" s="230" t="str">
        <f>IF(Dashboard!$S$2=TRUE,Factors!E44,Factors!G44)</f>
        <v>API Compendium (2021), Table 4-3 and 4-6
Assumed GWPs for CH4 and N2O are 25 and 298, respectively</v>
      </c>
      <c r="F31" s="295">
        <f>C31*C19</f>
        <v>55.020037200000004</v>
      </c>
      <c r="G31" s="271" t="s">
        <v>455</v>
      </c>
      <c r="H31" s="382" t="s">
        <v>462</v>
      </c>
      <c r="I31" s="382"/>
      <c r="J31" s="247"/>
      <c r="K31" s="247"/>
      <c r="L31" s="247"/>
      <c r="M31" s="247"/>
      <c r="N31" s="247"/>
      <c r="O31" s="247"/>
      <c r="P31" s="247"/>
    </row>
    <row r="32" spans="2:16">
      <c r="B32" s="247"/>
      <c r="C32" s="247"/>
      <c r="D32" s="247"/>
      <c r="E32" s="247"/>
      <c r="F32" s="247"/>
      <c r="G32" s="247"/>
      <c r="H32" s="247"/>
      <c r="I32" s="247"/>
      <c r="J32" s="247"/>
      <c r="K32" s="247"/>
      <c r="L32" s="247"/>
      <c r="M32" s="247"/>
      <c r="N32" s="247"/>
      <c r="O32" s="247"/>
      <c r="P32" s="247"/>
    </row>
    <row r="33" spans="2:16">
      <c r="B33" s="60" t="s">
        <v>463</v>
      </c>
      <c r="C33" s="60"/>
      <c r="D33" s="383"/>
      <c r="E33" s="384"/>
      <c r="F33" s="385"/>
      <c r="G33" s="383"/>
      <c r="H33" s="384"/>
      <c r="I33" s="384"/>
      <c r="J33" s="247"/>
      <c r="K33" s="247"/>
      <c r="L33" s="247"/>
      <c r="M33" s="247"/>
      <c r="N33" s="247"/>
      <c r="O33" s="247"/>
      <c r="P33" s="247"/>
    </row>
    <row r="34" spans="2:16" ht="28.9">
      <c r="B34" s="72" t="s">
        <v>464</v>
      </c>
      <c r="C34" s="33" t="s">
        <v>465</v>
      </c>
      <c r="D34" s="82" t="s">
        <v>427</v>
      </c>
      <c r="E34" s="33" t="s">
        <v>466</v>
      </c>
      <c r="F34" s="33" t="s">
        <v>467</v>
      </c>
      <c r="G34" s="82" t="s">
        <v>428</v>
      </c>
      <c r="H34" s="247"/>
      <c r="I34" s="247"/>
      <c r="J34" s="247"/>
      <c r="K34" s="247"/>
      <c r="L34" s="247"/>
      <c r="M34" s="247"/>
      <c r="N34" s="247"/>
      <c r="O34" s="247"/>
      <c r="P34" s="247"/>
    </row>
    <row r="35" spans="2:16">
      <c r="B35" s="284" t="s">
        <v>468</v>
      </c>
      <c r="C35" s="301">
        <f>C12-C13</f>
        <v>7107</v>
      </c>
      <c r="D35" s="334">
        <f>C35*$C$21*$C$19/$C$22</f>
        <v>2843611.3142093886</v>
      </c>
      <c r="E35" s="295">
        <f>F27+F30+F31</f>
        <v>63.637632528549318</v>
      </c>
      <c r="F35" s="295">
        <f>C35*$C$21*E35/1000000</f>
        <v>165.07951884884599</v>
      </c>
      <c r="G35" s="334">
        <f>C35*$C$21*$C$20/$C$22</f>
        <v>2553502.7489483729</v>
      </c>
      <c r="H35" s="247"/>
      <c r="I35" s="247"/>
      <c r="J35" s="247"/>
      <c r="K35" s="247"/>
      <c r="L35" s="247"/>
      <c r="M35" s="247"/>
      <c r="N35" s="247"/>
      <c r="O35" s="247"/>
      <c r="P35" s="247"/>
    </row>
    <row r="36" spans="2:16">
      <c r="B36" s="284" t="s">
        <v>469</v>
      </c>
      <c r="C36" s="301">
        <f>C15</f>
        <v>0</v>
      </c>
      <c r="D36" s="334">
        <f>C36*$C$21*$C$19/$C$22</f>
        <v>0</v>
      </c>
      <c r="E36" s="295">
        <f>F28+F29+F30+F31</f>
        <v>76.520037200000004</v>
      </c>
      <c r="F36" s="295">
        <f>C36*$C$21*E36/1000000</f>
        <v>0</v>
      </c>
      <c r="G36" s="334">
        <f>C36*$C$21*$C$20/$C$22</f>
        <v>0</v>
      </c>
      <c r="H36" s="247"/>
      <c r="I36" s="247"/>
      <c r="J36" s="247"/>
      <c r="K36" s="247"/>
      <c r="L36" s="247"/>
      <c r="M36" s="247"/>
      <c r="N36" s="247"/>
      <c r="O36" s="247"/>
      <c r="P36" s="247"/>
    </row>
    <row r="37" spans="2:16">
      <c r="B37" s="296" t="s">
        <v>470</v>
      </c>
      <c r="C37" s="328">
        <f>IF(C14&gt;C12,C14-C35-C36,0)</f>
        <v>3060</v>
      </c>
      <c r="D37" s="335">
        <f>C37*$C$21*$C$19/$C$22</f>
        <v>1224349.3205966975</v>
      </c>
      <c r="E37" s="330">
        <f>F28+F30+F31</f>
        <v>69.853370533333333</v>
      </c>
      <c r="F37" s="330">
        <f>C37*$C$21*E37/1000000</f>
        <v>78.019229548679988</v>
      </c>
      <c r="G37" s="335">
        <f>C37*$C$21*$C$20/$C$22</f>
        <v>1099439.7652711442</v>
      </c>
      <c r="H37" s="247"/>
      <c r="I37" s="247"/>
      <c r="J37" s="247"/>
      <c r="K37" s="247"/>
      <c r="L37" s="247"/>
      <c r="M37" s="247"/>
      <c r="N37" s="247"/>
      <c r="O37" s="247"/>
      <c r="P37" s="247"/>
    </row>
    <row r="38" spans="2:16">
      <c r="B38" s="247"/>
      <c r="C38" s="301">
        <f>SUM(C35:C37)</f>
        <v>10167</v>
      </c>
      <c r="D38" s="334">
        <f>SUM(D35:D37)</f>
        <v>4067960.6348060863</v>
      </c>
      <c r="E38" s="271"/>
      <c r="F38" s="295">
        <f>SUM(F35:F37)</f>
        <v>243.09874839752598</v>
      </c>
      <c r="G38" s="334">
        <f>SUM(G35:G37)</f>
        <v>3652942.5142195169</v>
      </c>
      <c r="H38" s="247"/>
      <c r="I38" s="247"/>
      <c r="J38" s="247"/>
      <c r="K38" s="247"/>
      <c r="L38" s="247"/>
      <c r="M38" s="247"/>
      <c r="N38" s="247"/>
      <c r="O38" s="247"/>
      <c r="P38" s="247"/>
    </row>
    <row r="39" spans="2:16">
      <c r="B39" s="287"/>
      <c r="C39" s="297"/>
      <c r="D39" s="287"/>
      <c r="E39" s="287"/>
      <c r="F39" s="287"/>
      <c r="G39" s="287"/>
      <c r="H39" s="247"/>
      <c r="I39" s="247"/>
      <c r="J39" s="247"/>
      <c r="K39" s="287"/>
      <c r="L39" s="331"/>
      <c r="M39" s="287"/>
      <c r="N39" s="287"/>
      <c r="O39" s="247"/>
      <c r="P39" s="247"/>
    </row>
    <row r="40" spans="2:16">
      <c r="B40" s="68" t="s">
        <v>435</v>
      </c>
      <c r="C40" s="247"/>
      <c r="D40" s="247"/>
      <c r="E40" s="247"/>
      <c r="F40" s="247"/>
      <c r="G40" s="247"/>
      <c r="H40" s="247"/>
      <c r="I40" s="247"/>
      <c r="J40" s="247"/>
      <c r="K40" s="247"/>
      <c r="L40" s="247"/>
      <c r="M40" s="247"/>
      <c r="N40" s="247"/>
      <c r="O40" s="247"/>
      <c r="P40" s="247"/>
    </row>
    <row r="41" spans="2:16" ht="40.9">
      <c r="B41" s="247"/>
      <c r="C41" s="69" t="s">
        <v>471</v>
      </c>
      <c r="D41" s="69" t="s">
        <v>472</v>
      </c>
      <c r="E41" s="69" t="s">
        <v>473</v>
      </c>
      <c r="F41" s="69" t="s">
        <v>474</v>
      </c>
      <c r="G41" s="69" t="s">
        <v>475</v>
      </c>
      <c r="H41" s="247"/>
      <c r="I41" s="247"/>
      <c r="J41" s="247"/>
      <c r="K41" s="247"/>
      <c r="L41" s="247"/>
      <c r="M41" s="247"/>
      <c r="N41" s="247"/>
      <c r="O41" s="247"/>
      <c r="P41" s="247"/>
    </row>
    <row r="42" spans="2:16">
      <c r="B42" s="247"/>
      <c r="C42" s="247"/>
      <c r="D42" s="247"/>
      <c r="E42" s="247"/>
      <c r="F42" s="247"/>
      <c r="G42" s="247"/>
      <c r="H42" s="247"/>
      <c r="I42" s="247"/>
      <c r="J42" s="247"/>
      <c r="K42" s="247"/>
      <c r="L42" s="247"/>
      <c r="M42" s="247"/>
      <c r="N42" s="247"/>
      <c r="O42" s="247"/>
      <c r="P42" s="247"/>
    </row>
    <row r="43" spans="2:16">
      <c r="B43" s="247"/>
      <c r="C43" s="247"/>
      <c r="D43" s="247"/>
      <c r="E43" s="247"/>
      <c r="F43" s="247"/>
      <c r="G43" s="247"/>
      <c r="H43" s="247"/>
      <c r="I43" s="247"/>
      <c r="J43" s="247"/>
      <c r="K43" s="247"/>
      <c r="L43" s="247"/>
      <c r="M43" s="247"/>
      <c r="N43" s="247"/>
      <c r="O43" s="247"/>
      <c r="P43" s="247"/>
    </row>
    <row r="44" spans="2:16">
      <c r="B44" s="247"/>
      <c r="C44" s="247"/>
      <c r="D44" s="247"/>
      <c r="E44" s="247"/>
      <c r="F44" s="247"/>
      <c r="G44" s="247"/>
      <c r="H44" s="247"/>
      <c r="I44" s="247"/>
      <c r="J44" s="247"/>
      <c r="K44" s="247"/>
      <c r="L44" s="247"/>
      <c r="M44" s="247"/>
      <c r="N44" s="247"/>
      <c r="O44" s="247"/>
      <c r="P44" s="247"/>
    </row>
    <row r="45" spans="2:16">
      <c r="B45" s="247"/>
      <c r="C45" s="247"/>
      <c r="D45" s="247"/>
      <c r="E45" s="247"/>
      <c r="F45" s="247"/>
      <c r="G45" s="247"/>
      <c r="H45" s="247"/>
      <c r="I45" s="247"/>
      <c r="J45" s="247"/>
      <c r="K45" s="247"/>
      <c r="L45" s="247"/>
      <c r="M45" s="247"/>
      <c r="N45" s="247"/>
      <c r="O45" s="247"/>
      <c r="P45" s="247"/>
    </row>
    <row r="46" spans="2:16">
      <c r="B46" s="247"/>
      <c r="C46" s="247"/>
      <c r="D46" s="247"/>
      <c r="E46" s="247"/>
      <c r="F46" s="247"/>
      <c r="G46" s="247"/>
      <c r="H46" s="247"/>
      <c r="I46" s="247"/>
      <c r="J46" s="247"/>
      <c r="K46" s="247"/>
      <c r="L46" s="247"/>
      <c r="M46" s="247"/>
      <c r="N46" s="247"/>
      <c r="O46" s="247"/>
      <c r="P46" s="247"/>
    </row>
  </sheetData>
  <sheetProtection selectLockedCells="1" selectUnlockedCells="1"/>
  <mergeCells count="7">
    <mergeCell ref="H27:I27"/>
    <mergeCell ref="G33:I33"/>
    <mergeCell ref="D33:F33"/>
    <mergeCell ref="H31:I31"/>
    <mergeCell ref="H28:I28"/>
    <mergeCell ref="H29:I29"/>
    <mergeCell ref="H30:I30"/>
  </mergeCells>
  <phoneticPr fontId="5" type="noConversion"/>
  <pageMargins left="0.7" right="0.7" top="0.75" bottom="0.75" header="0.3" footer="0.3"/>
  <pageSetup scale="43" orientation="landscape" horizontalDpi="360" verticalDpi="36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BC9B8-E935-4B69-9BE9-CC3B1677F73C}">
  <sheetPr>
    <tabColor rgb="FF92D050"/>
  </sheetPr>
  <dimension ref="A1:XFC44"/>
  <sheetViews>
    <sheetView showGridLines="0" zoomScale="70" zoomScaleNormal="70" workbookViewId="0">
      <pane ySplit="1" topLeftCell="A2" activePane="bottomLeft" state="frozen"/>
      <selection pane="bottomLeft" activeCell="A2" sqref="A2"/>
      <selection activeCell="B16" sqref="B16"/>
    </sheetView>
  </sheetViews>
  <sheetFormatPr defaultColWidth="0" defaultRowHeight="13.15" zeroHeight="1"/>
  <cols>
    <col min="1" max="1" width="9.140625" style="17" customWidth="1"/>
    <col min="2" max="2" width="65" style="17" customWidth="1"/>
    <col min="3" max="3" width="24.42578125" style="17" customWidth="1"/>
    <col min="4" max="4" width="60.85546875" style="17" customWidth="1"/>
    <col min="5" max="5" width="22.7109375" style="17" customWidth="1"/>
    <col min="6" max="16" width="0" style="17" hidden="1" customWidth="1"/>
    <col min="17" max="16383" width="9.140625" style="17" hidden="1"/>
    <col min="16384" max="16384" width="11.7109375" style="17" hidden="1" customWidth="1"/>
  </cols>
  <sheetData>
    <row r="1" spans="2:4" ht="99.75" customHeight="1">
      <c r="B1" s="247"/>
      <c r="C1" s="247"/>
      <c r="D1" s="247"/>
    </row>
    <row r="2" spans="2:4" ht="24.6">
      <c r="B2" s="24" t="s">
        <v>476</v>
      </c>
      <c r="C2" s="247"/>
      <c r="D2" s="247"/>
    </row>
    <row r="3" spans="2:4">
      <c r="B3" s="45" t="s">
        <v>252</v>
      </c>
      <c r="C3" s="247"/>
      <c r="D3" s="247"/>
    </row>
    <row r="4" spans="2:4">
      <c r="B4" s="247"/>
      <c r="C4" s="247"/>
      <c r="D4" s="247"/>
    </row>
    <row r="5" spans="2:4" ht="13.9" thickBot="1">
      <c r="B5" s="66" t="s">
        <v>342</v>
      </c>
      <c r="C5" s="66"/>
      <c r="D5" s="66" t="s">
        <v>343</v>
      </c>
    </row>
    <row r="6" spans="2:4">
      <c r="B6" s="284" t="s">
        <v>163</v>
      </c>
      <c r="C6" s="295">
        <f>C22</f>
        <v>0.17693019095681309</v>
      </c>
      <c r="D6" s="43" t="s">
        <v>477</v>
      </c>
    </row>
    <row r="7" spans="2:4" ht="15.6">
      <c r="B7" s="296" t="s">
        <v>345</v>
      </c>
      <c r="C7" s="297">
        <f>C24</f>
        <v>6.6806827562519127</v>
      </c>
      <c r="D7" s="43" t="s">
        <v>448</v>
      </c>
    </row>
    <row r="8" spans="2:4">
      <c r="B8" s="49" t="s">
        <v>347</v>
      </c>
      <c r="C8" s="50">
        <f>IF(C6&gt;0,C7/C6)</f>
        <v>37.758862521561404</v>
      </c>
      <c r="D8" s="43" t="s">
        <v>478</v>
      </c>
    </row>
    <row r="9" spans="2:4">
      <c r="B9" s="247"/>
      <c r="C9" s="247"/>
      <c r="D9" s="247"/>
    </row>
    <row r="10" spans="2:4">
      <c r="B10" s="77" t="s">
        <v>479</v>
      </c>
      <c r="C10" s="77"/>
      <c r="D10" s="103" t="s">
        <v>343</v>
      </c>
    </row>
    <row r="11" spans="2:4">
      <c r="B11" s="247" t="s">
        <v>480</v>
      </c>
      <c r="C11" s="102">
        <f>Dashboard!C29</f>
        <v>105</v>
      </c>
      <c r="D11" s="43" t="s">
        <v>351</v>
      </c>
    </row>
    <row r="12" spans="2:4">
      <c r="B12" s="247"/>
      <c r="C12" s="271"/>
      <c r="D12" s="247"/>
    </row>
    <row r="13" spans="2:4">
      <c r="B13" s="77" t="s">
        <v>359</v>
      </c>
      <c r="C13" s="77"/>
      <c r="D13" s="77"/>
    </row>
    <row r="14" spans="2:4">
      <c r="B14" s="247" t="s">
        <v>257</v>
      </c>
      <c r="C14" s="74">
        <f>IF(Dashboard!$S$2=TRUE,Factors!D10,Factors!F10)</f>
        <v>365</v>
      </c>
      <c r="D14" s="219" t="str">
        <f>IF(Dashboard!$S$2=TRUE,Factors!E10,Factors!G10)</f>
        <v>Days in the year (non-leap year)</v>
      </c>
    </row>
    <row r="15" spans="2:4">
      <c r="B15" s="247"/>
      <c r="C15" s="271"/>
      <c r="D15" s="247"/>
    </row>
    <row r="16" spans="2:4">
      <c r="B16" s="77" t="s">
        <v>310</v>
      </c>
      <c r="C16" s="77"/>
      <c r="D16" s="77"/>
    </row>
    <row r="17" spans="2:4" ht="18.75" customHeight="1">
      <c r="B17" s="332" t="s">
        <v>481</v>
      </c>
      <c r="C17" s="221">
        <f>IF(Dashboard!$S$2=TRUE,Factors!D63,Factors!F63)</f>
        <v>37.758862521561404</v>
      </c>
      <c r="D17" s="232" t="str">
        <f>IF(Dashboard!$S$2=TRUE,Factors!E63,Factors!G63)</f>
        <v>Chevron internal analysis based on sales volumes</v>
      </c>
    </row>
    <row r="18" spans="2:4">
      <c r="B18" s="332" t="s">
        <v>313</v>
      </c>
      <c r="C18" s="221">
        <f>IF(Dashboard!$S$2=TRUE,Factors!D64,Factors!F64)</f>
        <v>4.6165738018737921</v>
      </c>
      <c r="D18" s="232" t="str">
        <f>IF(Dashboard!$S$2=TRUE,Factors!E64,Factors!G64)</f>
        <v>Chevron internal analysis based on sales volumes</v>
      </c>
    </row>
    <row r="19" spans="2:4">
      <c r="B19" s="332" t="s">
        <v>314</v>
      </c>
      <c r="C19" s="221">
        <f>IF(Dashboard!$S$2=TRUE,Factors!D65,Factors!F65)</f>
        <v>4.2475805117737817</v>
      </c>
      <c r="D19" s="232" t="str">
        <f>IF(Dashboard!$S$2=TRUE,Factors!E65,Factors!G65)</f>
        <v>Chevron internal analysis based on sales volumes</v>
      </c>
    </row>
    <row r="20" spans="2:4">
      <c r="B20" s="247"/>
      <c r="C20" s="271"/>
      <c r="D20" s="247"/>
    </row>
    <row r="21" spans="2:4">
      <c r="B21" s="77" t="s">
        <v>463</v>
      </c>
      <c r="C21" s="77"/>
      <c r="D21" s="77"/>
    </row>
    <row r="22" spans="2:4" ht="21">
      <c r="B22" s="270" t="s">
        <v>482</v>
      </c>
      <c r="C22" s="336">
        <f>C11*C14*C18/1000000</f>
        <v>0.17693019095681309</v>
      </c>
      <c r="D22" s="107" t="s">
        <v>483</v>
      </c>
    </row>
    <row r="23" spans="2:4" ht="21">
      <c r="B23" s="270" t="s">
        <v>484</v>
      </c>
      <c r="C23" s="336">
        <f>C11*C19*C14/1000000</f>
        <v>0.16278852311373018</v>
      </c>
      <c r="D23" s="107" t="s">
        <v>485</v>
      </c>
    </row>
    <row r="24" spans="2:4" ht="27" customHeight="1">
      <c r="B24" s="270" t="s">
        <v>486</v>
      </c>
      <c r="C24" s="333">
        <f>C22*C17</f>
        <v>6.6806827562519127</v>
      </c>
      <c r="D24" s="107" t="s">
        <v>487</v>
      </c>
    </row>
    <row r="25" spans="2:4">
      <c r="B25" s="247"/>
      <c r="C25" s="247"/>
      <c r="D25" s="247"/>
    </row>
    <row r="32" spans="2:4">
      <c r="B32" s="247"/>
      <c r="C32" s="247"/>
      <c r="D32" s="247"/>
    </row>
    <row r="44"/>
  </sheetData>
  <sheetProtection selectLockedCells="1" selectUnlockedCells="1"/>
  <pageMargins left="0.7" right="0.7" top="0.75" bottom="0.75" header="0.3" footer="0.3"/>
  <pageSetup scale="72" orientation="landscape" horizontalDpi="360" verticalDpi="36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P58"/>
  <sheetViews>
    <sheetView showGridLines="0" zoomScale="70" zoomScaleNormal="70" workbookViewId="0">
      <pane ySplit="1" topLeftCell="A2" activePane="bottomLeft" state="frozen"/>
      <selection pane="bottomLeft" activeCell="A2" sqref="A2"/>
      <selection activeCell="B16" sqref="B16"/>
    </sheetView>
  </sheetViews>
  <sheetFormatPr defaultColWidth="0" defaultRowHeight="13.15" zeroHeight="1"/>
  <cols>
    <col min="1" max="1" width="9.140625" style="17" customWidth="1"/>
    <col min="2" max="2" width="55.85546875" style="17" customWidth="1"/>
    <col min="3" max="3" width="15.42578125" style="17" customWidth="1"/>
    <col min="4" max="4" width="25.140625" style="17" customWidth="1"/>
    <col min="5" max="5" width="33.85546875" style="17" customWidth="1"/>
    <col min="6" max="6" width="21.140625" style="17" customWidth="1"/>
    <col min="7" max="7" width="25.5703125" style="17" customWidth="1"/>
    <col min="8" max="8" width="30.140625" style="17" customWidth="1"/>
    <col min="9" max="9" width="23.85546875" style="17" customWidth="1"/>
    <col min="10" max="10" width="15.85546875" style="17" customWidth="1"/>
    <col min="11" max="16" width="0" style="17" hidden="1" customWidth="1"/>
    <col min="17" max="16384" width="9.140625" style="17" hidden="1"/>
  </cols>
  <sheetData>
    <row r="1" spans="2:16" ht="99.75" customHeight="1">
      <c r="B1" s="247"/>
      <c r="C1" s="247"/>
      <c r="D1" s="247"/>
      <c r="E1" s="247"/>
      <c r="F1" s="247"/>
      <c r="G1" s="247"/>
      <c r="H1" s="247"/>
      <c r="I1" s="247"/>
      <c r="J1" s="247"/>
      <c r="K1" s="247"/>
      <c r="L1" s="247"/>
      <c r="M1" s="247"/>
      <c r="N1" s="247"/>
      <c r="O1" s="247"/>
      <c r="P1" s="247"/>
    </row>
    <row r="2" spans="2:16" ht="24.6">
      <c r="B2" s="24" t="s">
        <v>488</v>
      </c>
      <c r="C2" s="247"/>
      <c r="D2" s="247"/>
      <c r="E2" s="247"/>
      <c r="F2" s="247"/>
      <c r="G2" s="247"/>
      <c r="H2" s="247"/>
      <c r="I2" s="247"/>
      <c r="J2" s="247"/>
      <c r="K2" s="247"/>
      <c r="L2" s="247"/>
      <c r="M2" s="247"/>
      <c r="N2" s="247"/>
      <c r="O2" s="247"/>
      <c r="P2" s="247"/>
    </row>
    <row r="3" spans="2:16">
      <c r="B3" s="45" t="s">
        <v>252</v>
      </c>
      <c r="C3" s="247"/>
      <c r="D3" s="247"/>
      <c r="E3" s="247"/>
      <c r="F3" s="247"/>
      <c r="G3" s="247"/>
      <c r="H3" s="247"/>
      <c r="I3" s="247"/>
      <c r="J3" s="247"/>
      <c r="K3" s="247"/>
      <c r="L3" s="247"/>
      <c r="M3" s="247"/>
      <c r="N3" s="247"/>
      <c r="O3" s="247"/>
      <c r="P3" s="247"/>
    </row>
    <row r="4" spans="2:16">
      <c r="B4" s="247"/>
      <c r="C4" s="247"/>
      <c r="D4" s="247"/>
      <c r="E4" s="247"/>
      <c r="F4" s="247"/>
      <c r="G4" s="247"/>
      <c r="H4" s="247"/>
      <c r="I4" s="247"/>
      <c r="J4" s="247"/>
      <c r="K4" s="247"/>
      <c r="L4" s="247"/>
      <c r="M4" s="247"/>
      <c r="N4" s="247"/>
      <c r="O4" s="247"/>
      <c r="P4" s="247"/>
    </row>
    <row r="5" spans="2:16" ht="13.9" thickBot="1">
      <c r="B5" s="66" t="s">
        <v>342</v>
      </c>
      <c r="C5" s="66"/>
      <c r="D5" s="66" t="s">
        <v>343</v>
      </c>
      <c r="E5" s="66"/>
      <c r="F5" s="66"/>
      <c r="G5" s="66"/>
      <c r="H5" s="66"/>
      <c r="I5" s="66"/>
      <c r="J5" s="247"/>
      <c r="K5" s="66"/>
      <c r="L5" s="66"/>
      <c r="M5" s="66"/>
      <c r="N5" s="66"/>
      <c r="O5" s="66"/>
      <c r="P5" s="66"/>
    </row>
    <row r="6" spans="2:16">
      <c r="B6" s="284" t="s">
        <v>163</v>
      </c>
      <c r="C6" s="295">
        <f>D36/1000000</f>
        <v>0.74806474984095039</v>
      </c>
      <c r="D6" s="43" t="s">
        <v>489</v>
      </c>
      <c r="E6" s="247"/>
      <c r="F6" s="247"/>
      <c r="G6" s="247"/>
      <c r="H6" s="247"/>
      <c r="I6" s="247"/>
      <c r="J6" s="247"/>
      <c r="K6" s="247"/>
      <c r="L6" s="247"/>
      <c r="M6" s="247"/>
      <c r="N6" s="247"/>
      <c r="O6" s="247"/>
      <c r="P6" s="247"/>
    </row>
    <row r="7" spans="2:16">
      <c r="B7" s="296" t="s">
        <v>490</v>
      </c>
      <c r="C7" s="297">
        <f>F36</f>
        <v>54.412768515220073</v>
      </c>
      <c r="D7" s="43" t="s">
        <v>448</v>
      </c>
      <c r="E7" s="247"/>
      <c r="F7" s="247"/>
      <c r="G7" s="247"/>
      <c r="H7" s="247"/>
      <c r="I7" s="247"/>
      <c r="J7" s="247"/>
      <c r="K7" s="247"/>
      <c r="L7" s="247"/>
      <c r="M7" s="247"/>
      <c r="N7" s="247"/>
      <c r="O7" s="247"/>
      <c r="P7" s="247"/>
    </row>
    <row r="8" spans="2:16">
      <c r="B8" s="49" t="s">
        <v>347</v>
      </c>
      <c r="C8" s="50">
        <f>IF(C6&gt;0,C7/C6)</f>
        <v>72.738046441553394</v>
      </c>
      <c r="D8" s="43" t="s">
        <v>348</v>
      </c>
      <c r="E8" s="247"/>
      <c r="F8" s="247"/>
      <c r="G8" s="247"/>
      <c r="H8" s="247"/>
      <c r="I8" s="247"/>
      <c r="J8" s="247"/>
      <c r="K8" s="247"/>
      <c r="L8" s="247"/>
      <c r="M8" s="247"/>
      <c r="N8" s="247"/>
      <c r="O8" s="247"/>
      <c r="P8" s="247"/>
    </row>
    <row r="9" spans="2:16">
      <c r="B9" s="247"/>
      <c r="C9" s="247"/>
      <c r="D9" s="247"/>
      <c r="E9" s="247"/>
      <c r="F9" s="247"/>
      <c r="G9" s="247"/>
      <c r="H9" s="247"/>
      <c r="I9" s="247"/>
      <c r="J9" s="247"/>
      <c r="K9" s="247"/>
      <c r="L9" s="247"/>
      <c r="M9" s="247"/>
      <c r="N9" s="247"/>
      <c r="O9" s="247"/>
      <c r="P9" s="247"/>
    </row>
    <row r="10" spans="2:16">
      <c r="B10" s="77" t="s">
        <v>479</v>
      </c>
      <c r="C10" s="77"/>
      <c r="D10" s="77"/>
      <c r="E10" s="77"/>
      <c r="F10" s="77"/>
      <c r="G10" s="77"/>
      <c r="H10" s="78"/>
      <c r="I10" s="78"/>
      <c r="J10" s="247"/>
      <c r="K10" s="247"/>
      <c r="L10" s="247"/>
      <c r="M10" s="247"/>
      <c r="N10" s="247"/>
      <c r="O10" s="247"/>
      <c r="P10" s="247"/>
    </row>
    <row r="11" spans="2:16">
      <c r="B11" s="73" t="s">
        <v>350</v>
      </c>
      <c r="C11" s="72" t="s">
        <v>491</v>
      </c>
      <c r="D11" s="73" t="s">
        <v>343</v>
      </c>
      <c r="E11" s="247"/>
      <c r="F11" s="247"/>
      <c r="G11" s="247"/>
      <c r="H11" s="247"/>
      <c r="I11" s="247"/>
      <c r="J11" s="247"/>
      <c r="K11" s="247"/>
      <c r="L11" s="247"/>
      <c r="M11" s="247"/>
      <c r="N11" s="247"/>
      <c r="O11" s="247"/>
      <c r="P11" s="247"/>
    </row>
    <row r="12" spans="2:16">
      <c r="B12" s="284" t="s">
        <v>492</v>
      </c>
      <c r="C12" s="74">
        <f>Dashboard!C25</f>
        <v>383</v>
      </c>
      <c r="D12" s="43" t="s">
        <v>351</v>
      </c>
      <c r="E12" s="247"/>
      <c r="F12" s="247"/>
      <c r="G12" s="247"/>
      <c r="H12" s="247"/>
      <c r="I12" s="247"/>
      <c r="J12" s="247"/>
      <c r="K12" s="247"/>
      <c r="L12" s="247"/>
      <c r="M12" s="247"/>
      <c r="N12" s="247"/>
      <c r="O12" s="247"/>
      <c r="P12" s="247"/>
    </row>
    <row r="13" spans="2:16">
      <c r="B13" s="284" t="s">
        <v>493</v>
      </c>
      <c r="C13" s="74">
        <f>Dashboard!C26</f>
        <v>154</v>
      </c>
      <c r="D13" s="43" t="s">
        <v>351</v>
      </c>
      <c r="E13" s="247"/>
      <c r="F13" s="247"/>
      <c r="G13" s="247"/>
      <c r="H13" s="247"/>
      <c r="I13" s="247"/>
      <c r="J13" s="247"/>
      <c r="K13" s="247"/>
      <c r="L13" s="247"/>
      <c r="M13" s="247"/>
      <c r="N13" s="247"/>
      <c r="O13" s="247"/>
      <c r="P13" s="247"/>
    </row>
    <row r="14" spans="2:16">
      <c r="B14" s="271"/>
      <c r="C14" s="271"/>
      <c r="D14" s="247"/>
      <c r="E14" s="247"/>
      <c r="F14" s="247"/>
      <c r="G14" s="247"/>
      <c r="H14" s="247"/>
      <c r="I14" s="247"/>
      <c r="J14" s="247"/>
      <c r="K14" s="247"/>
      <c r="L14" s="247"/>
      <c r="M14" s="247"/>
      <c r="N14" s="247"/>
      <c r="O14" s="247"/>
      <c r="P14" s="247"/>
    </row>
    <row r="15" spans="2:16">
      <c r="B15" s="60" t="s">
        <v>359</v>
      </c>
      <c r="C15" s="60"/>
      <c r="D15" s="60"/>
      <c r="E15" s="60"/>
      <c r="F15" s="60"/>
      <c r="G15" s="60"/>
      <c r="H15" s="60"/>
      <c r="I15" s="60"/>
      <c r="J15" s="247"/>
      <c r="K15" s="247"/>
      <c r="L15" s="247"/>
      <c r="M15" s="247"/>
      <c r="N15" s="247"/>
      <c r="O15" s="247"/>
      <c r="P15" s="247"/>
    </row>
    <row r="16" spans="2:16">
      <c r="B16" s="73" t="s">
        <v>67</v>
      </c>
      <c r="C16" s="72" t="s">
        <v>494</v>
      </c>
      <c r="D16" s="73" t="s">
        <v>495</v>
      </c>
      <c r="E16" s="73"/>
      <c r="F16" s="73"/>
      <c r="G16" s="73"/>
      <c r="H16" s="73"/>
      <c r="I16" s="73"/>
      <c r="J16" s="247"/>
      <c r="K16" s="247"/>
      <c r="L16" s="247"/>
      <c r="M16" s="247"/>
      <c r="N16" s="247"/>
      <c r="O16" s="247"/>
      <c r="P16" s="247"/>
    </row>
    <row r="17" spans="2:9" ht="24.95" customHeight="1">
      <c r="B17" s="337" t="s">
        <v>270</v>
      </c>
      <c r="C17" s="241">
        <f>IF(Dashboard!$S$2=TRUE,Factors!D19,Factors!F19)</f>
        <v>3617400</v>
      </c>
      <c r="D17" s="390" t="str">
        <f>IF(Dashboard!$S$2=TRUE,Factors!E19,Factors!G19)</f>
        <v>API Compendium (2021) Table 3-8 for HHV by NGL component; Chevron internal analysis for generic NGL barrel composition of 42% ethane, 28% propane, 8% n-butane, 9% i-butane, and 13% natural gasoline. Calculation on bottom of "Factors" tab.</v>
      </c>
      <c r="E17" s="390"/>
      <c r="F17" s="390"/>
      <c r="G17" s="390"/>
      <c r="H17" s="390"/>
      <c r="I17" s="390"/>
    </row>
    <row r="18" spans="2:9" ht="24.95" customHeight="1">
      <c r="B18" s="337" t="s">
        <v>272</v>
      </c>
      <c r="C18" s="241">
        <f>IF(Dashboard!$S$2=TRUE,Factors!D20,Factors!F20)</f>
        <v>3434800</v>
      </c>
      <c r="D18" s="391" t="str">
        <f>IF(Dashboard!$S$2=TRUE,Factors!E20,Factors!G20)</f>
        <v>API Compendium (2021) Table 3-8 for LHV by NGL component; Chevron internal analysis for generic NGL barrel composition of 42% ethane, 28% propane, 8% n-butane, 9% i-butane, and 13% natural gasoline. Calculation on bottom of "Factors" tab.</v>
      </c>
      <c r="E18" s="391"/>
      <c r="F18" s="391"/>
      <c r="G18" s="391"/>
      <c r="H18" s="391"/>
      <c r="I18" s="391"/>
    </row>
    <row r="19" spans="2:9">
      <c r="B19" s="284" t="s">
        <v>361</v>
      </c>
      <c r="C19" s="79">
        <f>IF(Dashboard!$S$2=TRUE,Factors!D10,Factors!F10)</f>
        <v>365</v>
      </c>
      <c r="D19" s="219" t="str">
        <f>IF(Dashboard!$S$2=TRUE,Factors!E10,Factors!G10)</f>
        <v>Days in the year (non-leap year)</v>
      </c>
      <c r="E19" s="308"/>
      <c r="F19" s="308"/>
      <c r="G19" s="308"/>
      <c r="H19" s="247"/>
      <c r="I19" s="247"/>
    </row>
    <row r="20" spans="2:9">
      <c r="B20" s="284" t="s">
        <v>259</v>
      </c>
      <c r="C20" s="79">
        <f>IF(Dashboard!$S$2=TRUE,Factors!D11,Factors!F11)</f>
        <v>947.81700000000001</v>
      </c>
      <c r="D20" s="215" t="str">
        <f>IF(Dashboard!$S$2=TRUE,Factors!E11,Factors!G11)</f>
        <v>Unit conversion</v>
      </c>
      <c r="E20" s="308"/>
      <c r="F20" s="308"/>
      <c r="G20" s="308"/>
      <c r="H20" s="247"/>
      <c r="I20" s="247"/>
    </row>
    <row r="21" spans="2:9">
      <c r="B21" s="284" t="s">
        <v>261</v>
      </c>
      <c r="C21" s="41">
        <f>IF(Dashboard!$S$2=TRUE,Factors!D13,Factors!F13)</f>
        <v>1.0629999999999999</v>
      </c>
      <c r="D21" s="213" t="str">
        <f>IF(Dashboard!$S$2=TRUE,Factors!E13,Factors!G13)</f>
        <v>EIA average processing gain at U.S. refineries, 2022: https://www.eia.gov/energyexplained/oil-and-petroleum-products/refining-crude-oil-inputs-and-outputs.php</v>
      </c>
      <c r="E21" s="308"/>
      <c r="F21" s="308"/>
      <c r="G21" s="308"/>
      <c r="H21" s="247"/>
      <c r="I21" s="247"/>
    </row>
    <row r="22" spans="2:9">
      <c r="B22" s="247"/>
      <c r="C22" s="247"/>
      <c r="D22" s="247"/>
      <c r="E22" s="247"/>
      <c r="F22" s="247"/>
      <c r="G22" s="247"/>
      <c r="H22" s="247"/>
      <c r="I22" s="247"/>
    </row>
    <row r="23" spans="2:9">
      <c r="B23" s="60" t="s">
        <v>279</v>
      </c>
      <c r="C23" s="60"/>
      <c r="D23" s="60"/>
      <c r="E23" s="60"/>
      <c r="F23" s="60"/>
      <c r="G23" s="60"/>
      <c r="H23" s="60"/>
      <c r="I23" s="60"/>
    </row>
    <row r="24" spans="2:9">
      <c r="B24" s="73" t="s">
        <v>282</v>
      </c>
      <c r="C24" s="72" t="s">
        <v>155</v>
      </c>
      <c r="D24" s="72" t="s">
        <v>360</v>
      </c>
      <c r="E24" s="72" t="s">
        <v>254</v>
      </c>
      <c r="F24" s="72" t="s">
        <v>360</v>
      </c>
      <c r="G24" s="72" t="s">
        <v>155</v>
      </c>
      <c r="H24" s="72" t="s">
        <v>452</v>
      </c>
      <c r="I24" s="72"/>
    </row>
    <row r="25" spans="2:9" ht="15.6">
      <c r="B25" s="284" t="s">
        <v>496</v>
      </c>
      <c r="C25" s="271" t="s">
        <v>497</v>
      </c>
      <c r="D25" s="74">
        <f>Dashboard!C13</f>
        <v>25.2</v>
      </c>
      <c r="E25" s="43" t="s">
        <v>351</v>
      </c>
      <c r="F25" s="271">
        <f>D25</f>
        <v>25.2</v>
      </c>
      <c r="G25" s="271" t="s">
        <v>498</v>
      </c>
      <c r="H25" s="247"/>
      <c r="I25" s="247"/>
    </row>
    <row r="26" spans="2:9" ht="15.6">
      <c r="B26" s="284" t="s">
        <v>499</v>
      </c>
      <c r="C26" s="271" t="s">
        <v>497</v>
      </c>
      <c r="D26" s="74">
        <f>Dashboard!C16</f>
        <v>37</v>
      </c>
      <c r="E26" s="43" t="s">
        <v>351</v>
      </c>
      <c r="F26" s="271">
        <f t="shared" ref="F26:F27" si="0">D26</f>
        <v>37</v>
      </c>
      <c r="G26" s="271" t="s">
        <v>498</v>
      </c>
      <c r="H26" s="247"/>
      <c r="I26" s="247"/>
    </row>
    <row r="27" spans="2:9" ht="21">
      <c r="B27" s="332" t="s">
        <v>500</v>
      </c>
      <c r="C27" s="278" t="s">
        <v>497</v>
      </c>
      <c r="D27" s="80">
        <f>IF(Dashboard!$S$2=TRUE,Factors!D47,Factors!F47)</f>
        <v>9.5</v>
      </c>
      <c r="E27" s="227" t="str">
        <f>IF(Dashboard!$S$2=TRUE,Factors!E47,Factors!G47)</f>
        <v>Chevron internal analysis of IEA World Energy Outlook 2018</v>
      </c>
      <c r="F27" s="278">
        <f t="shared" si="0"/>
        <v>9.5</v>
      </c>
      <c r="G27" s="278" t="s">
        <v>498</v>
      </c>
      <c r="H27" s="247"/>
      <c r="I27" s="247"/>
    </row>
    <row r="28" spans="2:9" ht="32.450000000000003">
      <c r="B28" s="284" t="s">
        <v>460</v>
      </c>
      <c r="C28" s="271" t="s">
        <v>461</v>
      </c>
      <c r="D28" s="74">
        <f>IF(Dashboard!$S$2=TRUE,Factors!D48,Factors!F48)</f>
        <v>6.4553799999999995E-2</v>
      </c>
      <c r="E28" s="230" t="str">
        <f>IF(Dashboard!$S$2=TRUE,Factors!E48,Factors!G48)</f>
        <v>API Compendium (2021), Table 4-3 and 4-6
Assumed GWPs for CH4 and N2O are 25 and 298, respectively</v>
      </c>
      <c r="F28" s="338">
        <f>D28*C17/1000</f>
        <v>233.51691611999999</v>
      </c>
      <c r="G28" s="271" t="s">
        <v>498</v>
      </c>
      <c r="H28" s="382" t="s">
        <v>501</v>
      </c>
      <c r="I28" s="382"/>
    </row>
    <row r="29" spans="2:9">
      <c r="B29" s="284"/>
      <c r="C29" s="271"/>
      <c r="D29" s="271"/>
      <c r="E29" s="247"/>
      <c r="F29" s="247"/>
      <c r="G29" s="247"/>
      <c r="H29" s="247"/>
      <c r="I29" s="247"/>
    </row>
    <row r="30" spans="2:9">
      <c r="B30" s="284"/>
      <c r="C30" s="271"/>
      <c r="D30" s="271"/>
      <c r="E30" s="247"/>
      <c r="F30" s="247"/>
      <c r="G30" s="247"/>
      <c r="H30" s="247"/>
      <c r="I30" s="247"/>
    </row>
    <row r="31" spans="2:9">
      <c r="B31" s="247"/>
      <c r="C31" s="247"/>
      <c r="D31" s="247"/>
      <c r="E31" s="247"/>
      <c r="F31" s="247"/>
      <c r="G31" s="247"/>
      <c r="H31" s="247"/>
      <c r="I31" s="247"/>
    </row>
    <row r="32" spans="2:9">
      <c r="B32" s="60" t="s">
        <v>463</v>
      </c>
      <c r="C32" s="60"/>
      <c r="D32" s="387"/>
      <c r="E32" s="388"/>
      <c r="F32" s="389"/>
      <c r="G32" s="387"/>
      <c r="H32" s="388"/>
      <c r="I32" s="388"/>
    </row>
    <row r="33" spans="2:9" ht="44.45" customHeight="1">
      <c r="B33" s="73" t="s">
        <v>247</v>
      </c>
      <c r="C33" s="33" t="s">
        <v>502</v>
      </c>
      <c r="D33" s="82" t="s">
        <v>427</v>
      </c>
      <c r="E33" s="33" t="s">
        <v>503</v>
      </c>
      <c r="F33" s="33" t="s">
        <v>504</v>
      </c>
      <c r="G33" s="82" t="s">
        <v>428</v>
      </c>
      <c r="H33" s="247"/>
      <c r="I33" s="247"/>
    </row>
    <row r="34" spans="2:9">
      <c r="B34" s="284" t="s">
        <v>492</v>
      </c>
      <c r="C34" s="271">
        <f>C12</f>
        <v>383</v>
      </c>
      <c r="D34" s="339">
        <f>C34*$C$19*$C$17/1000/$C$20</f>
        <v>533535.93889959774</v>
      </c>
      <c r="E34" s="295">
        <f>F25+F27+F28</f>
        <v>268.21691612000001</v>
      </c>
      <c r="F34" s="295">
        <f>C34*E34*$C$19/1000000</f>
        <v>37.495383788995397</v>
      </c>
      <c r="G34" s="339">
        <f>C34*$C$19*$C$18/1000/$C$20</f>
        <v>506603.98157028202</v>
      </c>
      <c r="H34" s="247"/>
      <c r="I34" s="247"/>
    </row>
    <row r="35" spans="2:9">
      <c r="B35" s="296" t="s">
        <v>493</v>
      </c>
      <c r="C35" s="286">
        <f>C13</f>
        <v>154</v>
      </c>
      <c r="D35" s="340">
        <f>C35*$C$19*$C$17/1000/$C$20</f>
        <v>214528.8109413526</v>
      </c>
      <c r="E35" s="75">
        <f>((F25+F26+F27)/C21)+F28</f>
        <v>300.96752759695204</v>
      </c>
      <c r="F35" s="330">
        <f>C35*E35*$C$19/1000000</f>
        <v>16.917384726224675</v>
      </c>
      <c r="G35" s="340">
        <f>C35*$C$19*$C$18/1000/$C$20</f>
        <v>203699.7732684685</v>
      </c>
      <c r="H35" s="247"/>
      <c r="I35" s="247"/>
    </row>
    <row r="36" spans="2:9">
      <c r="B36" s="247"/>
      <c r="C36" s="304">
        <f>SUM(C34:C35)</f>
        <v>537</v>
      </c>
      <c r="D36" s="341">
        <f>SUM(D34:D35)</f>
        <v>748064.74984095036</v>
      </c>
      <c r="E36" s="295"/>
      <c r="F36" s="295">
        <f>SUM(F34:F35)</f>
        <v>54.412768515220073</v>
      </c>
      <c r="G36" s="341">
        <f>SUM(G34:G35)</f>
        <v>710303.75483875046</v>
      </c>
      <c r="H36" s="247"/>
      <c r="I36" s="247"/>
    </row>
    <row r="37" spans="2:9">
      <c r="B37" s="45" t="s">
        <v>505</v>
      </c>
      <c r="C37" s="304"/>
      <c r="D37" s="342"/>
      <c r="E37" s="295"/>
      <c r="F37" s="295"/>
      <c r="G37" s="342"/>
      <c r="H37" s="247"/>
      <c r="I37" s="247"/>
    </row>
    <row r="38" spans="2:9">
      <c r="B38" s="247"/>
      <c r="C38" s="304"/>
      <c r="D38" s="342"/>
      <c r="E38" s="295"/>
      <c r="F38" s="295"/>
      <c r="G38" s="342"/>
      <c r="H38" s="247"/>
      <c r="I38" s="247"/>
    </row>
    <row r="39" spans="2:9">
      <c r="B39" s="85" t="s">
        <v>435</v>
      </c>
      <c r="C39" s="288"/>
      <c r="D39" s="288"/>
      <c r="E39" s="288"/>
      <c r="F39" s="288"/>
      <c r="G39" s="288"/>
      <c r="H39" s="247"/>
      <c r="I39" s="247"/>
    </row>
    <row r="40" spans="2:9" ht="119.45" customHeight="1">
      <c r="B40" s="247"/>
      <c r="C40" s="69" t="s">
        <v>506</v>
      </c>
      <c r="D40" s="69" t="s">
        <v>507</v>
      </c>
      <c r="E40" s="69" t="s">
        <v>508</v>
      </c>
      <c r="F40" s="69" t="s">
        <v>509</v>
      </c>
      <c r="G40" s="69" t="s">
        <v>510</v>
      </c>
      <c r="H40" s="247"/>
      <c r="I40" s="247"/>
    </row>
    <row r="41" spans="2:9">
      <c r="B41" s="247"/>
      <c r="C41" s="247"/>
      <c r="D41" s="247"/>
      <c r="E41" s="247"/>
      <c r="F41" s="247"/>
      <c r="G41" s="247"/>
      <c r="H41" s="247"/>
      <c r="I41" s="247"/>
    </row>
    <row r="42" spans="2:9">
      <c r="B42" s="247"/>
      <c r="C42" s="247"/>
      <c r="D42" s="247"/>
      <c r="E42" s="343"/>
      <c r="F42" s="247"/>
      <c r="G42" s="247"/>
      <c r="H42" s="247"/>
      <c r="I42" s="247"/>
    </row>
    <row r="43" spans="2:9">
      <c r="B43" s="247"/>
      <c r="C43" s="247"/>
      <c r="D43" s="247"/>
      <c r="E43" s="247"/>
      <c r="F43" s="247"/>
      <c r="G43" s="247"/>
      <c r="H43" s="247"/>
      <c r="I43" s="247"/>
    </row>
    <row r="44" spans="2:9">
      <c r="B44" s="247"/>
      <c r="C44" s="247"/>
      <c r="D44" s="247"/>
      <c r="E44" s="247"/>
      <c r="F44" s="247"/>
      <c r="G44" s="247"/>
      <c r="H44" s="247"/>
      <c r="I44" s="247"/>
    </row>
    <row r="45" spans="2:9">
      <c r="B45" s="247"/>
      <c r="C45" s="247"/>
      <c r="D45" s="247"/>
      <c r="E45" s="343"/>
      <c r="F45" s="247"/>
      <c r="G45" s="247"/>
      <c r="H45" s="247"/>
      <c r="I45" s="247"/>
    </row>
    <row r="46" spans="2:9">
      <c r="B46" s="247"/>
      <c r="C46" s="247"/>
      <c r="D46" s="247"/>
      <c r="E46" s="247"/>
      <c r="F46" s="247"/>
      <c r="G46" s="247"/>
      <c r="H46" s="247"/>
      <c r="I46" s="247"/>
    </row>
    <row r="47" spans="2:9">
      <c r="B47" s="247"/>
      <c r="C47" s="247"/>
      <c r="D47" s="247"/>
      <c r="E47" s="247"/>
      <c r="F47" s="247"/>
      <c r="G47" s="247"/>
      <c r="H47" s="247"/>
      <c r="I47" s="247"/>
    </row>
    <row r="48" spans="2:9">
      <c r="B48" s="247"/>
      <c r="C48" s="247"/>
      <c r="D48" s="247"/>
      <c r="E48" s="247"/>
      <c r="F48" s="247"/>
      <c r="G48" s="247"/>
      <c r="H48" s="247"/>
      <c r="I48" s="247"/>
    </row>
    <row r="49" spans="2:9">
      <c r="B49" s="247"/>
      <c r="C49" s="247"/>
      <c r="D49" s="247"/>
      <c r="E49" s="247"/>
      <c r="F49" s="247"/>
      <c r="G49" s="247"/>
      <c r="H49" s="247"/>
      <c r="I49" s="247"/>
    </row>
    <row r="50" spans="2:9">
      <c r="B50" s="247"/>
      <c r="C50" s="247"/>
      <c r="D50" s="247"/>
      <c r="E50" s="247"/>
      <c r="F50" s="247"/>
      <c r="G50" s="247"/>
      <c r="H50" s="247"/>
      <c r="I50" s="247"/>
    </row>
    <row r="51" spans="2:9">
      <c r="B51" s="247"/>
      <c r="C51" s="247"/>
      <c r="D51" s="247"/>
      <c r="E51" s="247"/>
      <c r="F51" s="247"/>
      <c r="G51" s="247"/>
      <c r="H51" s="247"/>
      <c r="I51" s="247"/>
    </row>
    <row r="52" spans="2:9">
      <c r="B52" s="247"/>
      <c r="C52" s="247"/>
      <c r="D52" s="247"/>
      <c r="E52" s="247"/>
      <c r="F52" s="247"/>
      <c r="G52" s="247"/>
      <c r="H52" s="247"/>
      <c r="I52" s="247"/>
    </row>
    <row r="53" spans="2:9">
      <c r="B53" s="247"/>
      <c r="C53" s="247"/>
      <c r="D53" s="247"/>
      <c r="E53" s="247"/>
      <c r="F53" s="247"/>
      <c r="G53" s="247"/>
      <c r="H53" s="247"/>
      <c r="I53" s="247"/>
    </row>
    <row r="54" spans="2:9">
      <c r="B54" s="247"/>
      <c r="C54" s="247"/>
      <c r="D54" s="247"/>
      <c r="E54" s="247"/>
      <c r="F54" s="247"/>
      <c r="G54" s="247"/>
      <c r="H54" s="247"/>
      <c r="I54" s="247"/>
    </row>
    <row r="56" spans="2:9">
      <c r="B56" s="247"/>
      <c r="C56" s="247"/>
      <c r="D56" s="247"/>
      <c r="E56" s="247"/>
      <c r="F56" s="247"/>
      <c r="G56" s="247"/>
      <c r="H56" s="247"/>
      <c r="I56" s="247"/>
    </row>
    <row r="57" spans="2:9">
      <c r="B57" s="247"/>
      <c r="C57" s="247"/>
      <c r="D57" s="247"/>
      <c r="E57" s="247"/>
      <c r="F57" s="247"/>
      <c r="G57" s="247"/>
      <c r="H57" s="247"/>
      <c r="I57" s="247"/>
    </row>
    <row r="58" spans="2:9">
      <c r="B58" s="247"/>
      <c r="C58" s="247"/>
      <c r="D58" s="247"/>
      <c r="E58" s="247"/>
      <c r="F58" s="247"/>
      <c r="G58" s="247"/>
      <c r="H58" s="247"/>
      <c r="I58" s="247"/>
    </row>
  </sheetData>
  <sheetProtection selectLockedCells="1" selectUnlockedCells="1"/>
  <mergeCells count="5">
    <mergeCell ref="D32:F32"/>
    <mergeCell ref="G32:I32"/>
    <mergeCell ref="H28:I28"/>
    <mergeCell ref="D17:I17"/>
    <mergeCell ref="D18:I18"/>
  </mergeCells>
  <pageMargins left="0.7" right="0.7" top="0.75" bottom="0.75" header="0.3" footer="0.3"/>
  <pageSetup scale="38" orientation="landscape" horizontalDpi="360" verticalDpi="36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R43"/>
  <sheetViews>
    <sheetView showGridLines="0" zoomScale="70" zoomScaleNormal="70" workbookViewId="0">
      <pane ySplit="1" topLeftCell="A2" activePane="bottomLeft" state="frozen"/>
      <selection pane="bottomLeft" activeCell="A2" sqref="A2"/>
      <selection activeCell="B16" sqref="B16"/>
    </sheetView>
  </sheetViews>
  <sheetFormatPr defaultColWidth="0" defaultRowHeight="13.15" zeroHeight="1"/>
  <cols>
    <col min="1" max="1" width="9.140625" style="17" customWidth="1"/>
    <col min="2" max="2" width="46" style="17" customWidth="1"/>
    <col min="3" max="3" width="18" style="17" bestFit="1" customWidth="1"/>
    <col min="4" max="6" width="28.42578125" style="17" customWidth="1"/>
    <col min="7" max="7" width="12.7109375" style="17" customWidth="1"/>
    <col min="8" max="8" width="10.28515625" style="17" customWidth="1"/>
    <col min="9" max="18" width="0" style="17" hidden="1" customWidth="1"/>
    <col min="19" max="16384" width="9.140625" style="17" hidden="1"/>
  </cols>
  <sheetData>
    <row r="1" spans="2:8" customFormat="1" ht="99.75" customHeight="1"/>
    <row r="2" spans="2:8" ht="24.6">
      <c r="B2" s="24" t="s">
        <v>511</v>
      </c>
      <c r="C2" s="247"/>
      <c r="D2" s="247"/>
      <c r="E2" s="247"/>
      <c r="F2" s="247"/>
      <c r="G2" s="247"/>
      <c r="H2" s="247"/>
    </row>
    <row r="3" spans="2:8">
      <c r="B3" s="45" t="s">
        <v>252</v>
      </c>
      <c r="C3" s="247"/>
      <c r="D3" s="247"/>
      <c r="E3" s="247"/>
      <c r="F3" s="247"/>
      <c r="G3" s="247"/>
      <c r="H3" s="247"/>
    </row>
    <row r="4" spans="2:8">
      <c r="B4" s="247"/>
      <c r="C4" s="247"/>
      <c r="D4" s="247"/>
      <c r="E4" s="247"/>
      <c r="F4" s="247"/>
      <c r="G4" s="247"/>
      <c r="H4" s="247"/>
    </row>
    <row r="5" spans="2:8">
      <c r="B5" s="66" t="s">
        <v>342</v>
      </c>
      <c r="C5" s="66"/>
      <c r="D5" s="66" t="s">
        <v>343</v>
      </c>
      <c r="E5" s="66"/>
      <c r="F5" s="66"/>
      <c r="G5" s="66"/>
      <c r="H5" s="246"/>
    </row>
    <row r="6" spans="2:8">
      <c r="B6" s="284" t="s">
        <v>163</v>
      </c>
      <c r="C6" s="295">
        <f>D27/1000000</f>
        <v>0</v>
      </c>
      <c r="D6" s="43" t="s">
        <v>489</v>
      </c>
      <c r="E6" s="247"/>
      <c r="F6" s="247"/>
      <c r="G6" s="247"/>
      <c r="H6" s="247"/>
    </row>
    <row r="7" spans="2:8" ht="15.6">
      <c r="B7" s="296" t="s">
        <v>345</v>
      </c>
      <c r="C7" s="344">
        <f>E27</f>
        <v>0</v>
      </c>
      <c r="D7" s="43" t="s">
        <v>448</v>
      </c>
      <c r="E7" s="247"/>
      <c r="F7" s="247"/>
      <c r="G7" s="247"/>
      <c r="H7" s="247"/>
    </row>
    <row r="8" spans="2:8">
      <c r="B8" s="49" t="s">
        <v>347</v>
      </c>
      <c r="C8" s="50">
        <f>IF(C6&gt;0,C7/C6,0)</f>
        <v>0</v>
      </c>
      <c r="D8" s="43" t="s">
        <v>348</v>
      </c>
      <c r="E8" s="247"/>
      <c r="F8" s="247"/>
      <c r="G8" s="247"/>
      <c r="H8" s="247"/>
    </row>
    <row r="9" spans="2:8">
      <c r="B9" s="247"/>
      <c r="C9" s="247"/>
      <c r="D9" s="247"/>
      <c r="E9" s="247"/>
      <c r="F9" s="247"/>
      <c r="G9" s="247"/>
      <c r="H9" s="247"/>
    </row>
    <row r="10" spans="2:8">
      <c r="B10" s="77" t="s">
        <v>279</v>
      </c>
      <c r="C10" s="77"/>
      <c r="D10" s="103"/>
      <c r="E10" s="77"/>
      <c r="F10" s="77"/>
      <c r="G10" s="77"/>
      <c r="H10" s="87"/>
    </row>
    <row r="11" spans="2:8" ht="15.6">
      <c r="B11" s="73" t="s">
        <v>512</v>
      </c>
      <c r="C11" s="72" t="s">
        <v>513</v>
      </c>
      <c r="D11" s="73" t="s">
        <v>254</v>
      </c>
      <c r="E11" s="73"/>
      <c r="F11" s="73"/>
      <c r="G11" s="25"/>
      <c r="H11" s="25"/>
    </row>
    <row r="12" spans="2:8" ht="30" customHeight="1">
      <c r="B12" s="270" t="s">
        <v>221</v>
      </c>
      <c r="C12" s="80">
        <f>IF(Dashboard!$S$2=TRUE,Factors!D51,Factors!F51)</f>
        <v>9.1999999999999993</v>
      </c>
      <c r="D12" s="392" t="str">
        <f>IF(Dashboard!$S$2=TRUE,Factors!E51,Factors!G51)</f>
        <v>2030 value for Natural Gas and SMR, 1700km: 
https://hydrogencouncil.com/wp-content/uploads/2021/01/Hydrogen-Council-Report_Decarbonization-Pathways_Part-1-Lifecycle-Assessment.pdf</v>
      </c>
      <c r="E12" s="392"/>
      <c r="F12" s="392"/>
      <c r="G12" s="230"/>
      <c r="H12" s="230"/>
    </row>
    <row r="13" spans="2:8" ht="30" customHeight="1">
      <c r="B13" s="270" t="s">
        <v>223</v>
      </c>
      <c r="C13" s="80">
        <f>IF(Dashboard!$S$2=TRUE,Factors!D52,Factors!F52)</f>
        <v>1.5</v>
      </c>
      <c r="D13" s="392" t="str">
        <f>IF(Dashboard!$S$2=TRUE,Factors!E52,Factors!G52)</f>
        <v>2030 value for Natural Gas with SMR and 90% CCS capture, 1700km: 
https://hydrogencouncil.com/wp-content/uploads/2021/01/Hydrogen-Council-Report_Decarbonization-Pathways_Part-1-Lifecycle-Assessment.pdf</v>
      </c>
      <c r="E13" s="392"/>
      <c r="F13" s="392"/>
      <c r="G13" s="230"/>
      <c r="H13" s="230"/>
    </row>
    <row r="14" spans="2:8" ht="30" customHeight="1">
      <c r="B14" s="270" t="s">
        <v>224</v>
      </c>
      <c r="C14" s="80">
        <f>IF(Dashboard!$S$2=TRUE,Factors!D53,Factors!F53)</f>
        <v>0.5</v>
      </c>
      <c r="D14" s="392" t="str">
        <f>IF(Dashboard!$S$2=TRUE,Factors!E53,Factors!G53)</f>
        <v>2030 value for Renewable Electrolysis with Wind Power: 
https://hydrogencouncil.com/wp-content/uploads/2021/01/Hydrogen-Council-Report_Decarbonization-Pathways_Part-1-Lifecycle-Assessment.pdf</v>
      </c>
      <c r="E14" s="392"/>
      <c r="F14" s="392"/>
      <c r="G14" s="230"/>
      <c r="H14" s="230"/>
    </row>
    <row r="15" spans="2:8">
      <c r="B15" s="247"/>
      <c r="C15" s="247"/>
      <c r="D15" s="247"/>
      <c r="E15" s="247"/>
      <c r="F15" s="247"/>
      <c r="G15" s="247"/>
      <c r="H15" s="247"/>
    </row>
    <row r="16" spans="2:8">
      <c r="B16" s="77" t="s">
        <v>359</v>
      </c>
      <c r="C16" s="77"/>
      <c r="D16" s="103" t="s">
        <v>254</v>
      </c>
      <c r="E16" s="77"/>
      <c r="F16" s="77"/>
      <c r="G16" s="77"/>
      <c r="H16" s="87"/>
    </row>
    <row r="17" spans="2:10">
      <c r="B17" s="247" t="s">
        <v>259</v>
      </c>
      <c r="C17" s="102">
        <f>IF(Dashboard!$S$2=TRUE,Factors!D11,Factors!F11)</f>
        <v>947.81700000000001</v>
      </c>
      <c r="D17" s="392" t="str">
        <f>IF(Dashboard!$S$2=TRUE,Factors!E11,Factors!G11)</f>
        <v>Unit conversion</v>
      </c>
      <c r="E17" s="392"/>
      <c r="F17" s="392"/>
      <c r="G17" s="230"/>
      <c r="H17" s="230"/>
      <c r="I17" s="247"/>
      <c r="J17" s="247"/>
    </row>
    <row r="18" spans="2:10">
      <c r="B18" s="247" t="s">
        <v>514</v>
      </c>
      <c r="C18" s="74">
        <f>IF(Dashboard!$S$2=TRUE,Factors!D22,Factors!F22)</f>
        <v>343</v>
      </c>
      <c r="D18" s="392" t="str">
        <f>IF(Dashboard!$S$2=TRUE,Factors!E22,Factors!G22)</f>
        <v>Argonne GREET model 2022</v>
      </c>
      <c r="E18" s="392"/>
      <c r="F18" s="392"/>
      <c r="G18" s="230"/>
      <c r="H18" s="230"/>
      <c r="I18" s="247"/>
      <c r="J18" s="247"/>
    </row>
    <row r="19" spans="2:10">
      <c r="B19" s="247" t="s">
        <v>515</v>
      </c>
      <c r="C19" s="74">
        <f>IF(Dashboard!$S$2=TRUE,Factors!D23,Factors!F23)</f>
        <v>2.6</v>
      </c>
      <c r="D19" s="392" t="str">
        <f>IF(Dashboard!$S$2=TRUE,Factors!E23,Factors!G23)</f>
        <v>Argonne GREET model 2022</v>
      </c>
      <c r="E19" s="392"/>
      <c r="F19" s="392"/>
      <c r="G19" s="230"/>
      <c r="H19" s="230"/>
      <c r="I19" s="247"/>
      <c r="J19" s="247"/>
    </row>
    <row r="20" spans="2:10">
      <c r="B20" s="247" t="s">
        <v>277</v>
      </c>
      <c r="C20" s="185">
        <f>Factors!D24</f>
        <v>0.84548104956268222</v>
      </c>
      <c r="D20" s="392" t="str">
        <f>IF(Dashboard!$S$2=TRUE,Factors!E24,Factors!G24)</f>
        <v>Argonne GREET model 2022</v>
      </c>
      <c r="E20" s="392"/>
      <c r="F20" s="392"/>
      <c r="G20" s="230"/>
      <c r="H20" s="230"/>
      <c r="I20" s="247"/>
      <c r="J20" s="247"/>
    </row>
    <row r="21" spans="2:10">
      <c r="B21" s="247"/>
      <c r="C21" s="247"/>
      <c r="D21" s="247"/>
      <c r="E21" s="247"/>
      <c r="F21" s="247"/>
      <c r="G21" s="247"/>
      <c r="H21" s="247"/>
      <c r="I21" s="247"/>
      <c r="J21" s="247"/>
    </row>
    <row r="22" spans="2:10">
      <c r="B22" s="77" t="s">
        <v>463</v>
      </c>
      <c r="C22" s="77"/>
      <c r="D22" s="103"/>
      <c r="E22" s="77"/>
      <c r="F22" s="77"/>
      <c r="G22" s="77"/>
      <c r="H22" s="87"/>
      <c r="I22" s="247"/>
      <c r="J22" s="247"/>
    </row>
    <row r="23" spans="2:10" ht="28.9">
      <c r="B23" s="45" t="s">
        <v>512</v>
      </c>
      <c r="C23" s="29" t="s">
        <v>516</v>
      </c>
      <c r="D23" s="29" t="s">
        <v>517</v>
      </c>
      <c r="E23" s="29" t="s">
        <v>518</v>
      </c>
      <c r="F23" s="29" t="s">
        <v>519</v>
      </c>
      <c r="G23" s="29"/>
      <c r="H23" s="29"/>
      <c r="I23" s="247"/>
      <c r="J23" s="247"/>
    </row>
    <row r="24" spans="2:10">
      <c r="B24" s="288" t="str">
        <f>Dashboard!B31</f>
        <v>Gray Hydrogen</v>
      </c>
      <c r="C24" s="104">
        <f>Dashboard!C31</f>
        <v>0</v>
      </c>
      <c r="D24" s="345">
        <f>C24*10^6/C$19*C$18/C$17</f>
        <v>0</v>
      </c>
      <c r="E24" s="345">
        <f>C24*C12</f>
        <v>0</v>
      </c>
      <c r="F24" s="345">
        <f>$C$20*D24</f>
        <v>0</v>
      </c>
      <c r="G24" s="346"/>
      <c r="H24" s="346"/>
      <c r="I24" s="247"/>
      <c r="J24" s="247"/>
    </row>
    <row r="25" spans="2:10">
      <c r="B25" s="247" t="str">
        <f>Dashboard!B32</f>
        <v>Blue Hydrogen</v>
      </c>
      <c r="C25" s="105">
        <f>Dashboard!C32</f>
        <v>0</v>
      </c>
      <c r="D25" s="347">
        <f>C25*10^6/C$19*C$18/C$17</f>
        <v>0</v>
      </c>
      <c r="E25" s="347">
        <f>C25*C13</f>
        <v>0</v>
      </c>
      <c r="F25" s="347">
        <f>$C$20*D25</f>
        <v>0</v>
      </c>
      <c r="G25" s="347"/>
      <c r="H25" s="346"/>
      <c r="I25" s="247"/>
      <c r="J25" s="247"/>
    </row>
    <row r="26" spans="2:10">
      <c r="B26" s="287" t="str">
        <f>Dashboard!B33</f>
        <v>Green Hydrogen</v>
      </c>
      <c r="C26" s="106">
        <f>Dashboard!C33</f>
        <v>0</v>
      </c>
      <c r="D26" s="348">
        <f>C26*10^6/C$19*C$18/C$17</f>
        <v>0</v>
      </c>
      <c r="E26" s="348">
        <f>C26*C14</f>
        <v>0</v>
      </c>
      <c r="F26" s="348">
        <f t="shared" ref="F26" si="0">$C$20*D26</f>
        <v>0</v>
      </c>
      <c r="G26" s="346"/>
      <c r="H26" s="346"/>
      <c r="I26" s="247"/>
      <c r="J26" s="247"/>
    </row>
    <row r="27" spans="2:10">
      <c r="B27" s="247" t="s">
        <v>520</v>
      </c>
      <c r="C27" s="349">
        <f>SUM(C24:C26)</f>
        <v>0</v>
      </c>
      <c r="D27" s="349">
        <f>SUM(D24:D26)</f>
        <v>0</v>
      </c>
      <c r="E27" s="349">
        <f>SUM(E24:E26)</f>
        <v>0</v>
      </c>
      <c r="F27" s="349">
        <f>SUM(F24:F26)</f>
        <v>0</v>
      </c>
      <c r="G27" s="349"/>
      <c r="H27" s="349"/>
      <c r="I27" s="247"/>
      <c r="J27" s="247"/>
    </row>
    <row r="28" spans="2:10">
      <c r="B28" s="247"/>
      <c r="C28" s="304"/>
      <c r="D28" s="342"/>
      <c r="E28" s="295"/>
      <c r="F28" s="295"/>
      <c r="G28" s="295"/>
      <c r="H28" s="295"/>
      <c r="I28" s="295"/>
      <c r="J28" s="295"/>
    </row>
    <row r="29" spans="2:10">
      <c r="B29" s="85" t="s">
        <v>435</v>
      </c>
      <c r="C29" s="288"/>
      <c r="D29" s="288"/>
      <c r="E29" s="288"/>
      <c r="F29" s="288"/>
      <c r="G29" s="288"/>
      <c r="H29" s="247"/>
      <c r="I29" s="288"/>
      <c r="J29" s="288"/>
    </row>
    <row r="30" spans="2:10" ht="51">
      <c r="B30" s="247"/>
      <c r="C30" s="225" t="s">
        <v>351</v>
      </c>
      <c r="D30" s="69" t="s">
        <v>521</v>
      </c>
      <c r="E30" s="69" t="s">
        <v>522</v>
      </c>
      <c r="F30" s="69" t="s">
        <v>523</v>
      </c>
      <c r="G30" s="69"/>
      <c r="H30" s="69"/>
      <c r="I30" s="69"/>
      <c r="J30" s="69"/>
    </row>
    <row r="32" spans="2:10">
      <c r="B32" s="247"/>
      <c r="C32" s="247"/>
      <c r="D32" s="247"/>
      <c r="E32" s="247"/>
      <c r="F32" s="247"/>
      <c r="G32" s="247"/>
      <c r="H32" s="247"/>
      <c r="I32" s="247"/>
      <c r="J32" s="247"/>
    </row>
    <row r="43"/>
  </sheetData>
  <sheetProtection selectLockedCells="1" selectUnlockedCells="1"/>
  <mergeCells count="7">
    <mergeCell ref="D19:F19"/>
    <mergeCell ref="D20:F20"/>
    <mergeCell ref="D12:F12"/>
    <mergeCell ref="D13:F13"/>
    <mergeCell ref="D14:F14"/>
    <mergeCell ref="D17:F17"/>
    <mergeCell ref="D18:F18"/>
  </mergeCells>
  <pageMargins left="0.7" right="0.7" top="0.75" bottom="0.75" header="0.3" footer="0.3"/>
  <pageSetup scale="71"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P31"/>
  <sheetViews>
    <sheetView showGridLines="0" zoomScale="70" zoomScaleNormal="70" workbookViewId="0">
      <pane ySplit="1" topLeftCell="A2" activePane="bottomLeft" state="frozen"/>
      <selection pane="bottomLeft" activeCell="A2" sqref="A2"/>
      <selection activeCell="B16" sqref="B16"/>
    </sheetView>
  </sheetViews>
  <sheetFormatPr defaultColWidth="0" defaultRowHeight="14.45" zeroHeight="1"/>
  <cols>
    <col min="1" max="1" width="9.140625" customWidth="1"/>
    <col min="2" max="2" width="44.85546875" customWidth="1"/>
    <col min="3" max="3" width="13.140625" customWidth="1"/>
    <col min="4" max="4" width="24.85546875" customWidth="1"/>
    <col min="5" max="5" width="35.85546875" bestFit="1" customWidth="1"/>
    <col min="6" max="11" width="9.140625" customWidth="1"/>
    <col min="12" max="16" width="0" hidden="1" customWidth="1"/>
    <col min="17" max="16384" width="9.140625" hidden="1"/>
  </cols>
  <sheetData>
    <row r="1" spans="2:10" ht="99.75" customHeight="1"/>
    <row r="2" spans="2:10" s="17" customFormat="1" ht="24.6">
      <c r="B2" s="24" t="s">
        <v>524</v>
      </c>
      <c r="C2" s="247"/>
      <c r="D2" s="247"/>
      <c r="E2" s="247"/>
      <c r="F2" s="247"/>
      <c r="G2" s="247"/>
      <c r="H2" s="247"/>
      <c r="I2" s="247"/>
      <c r="J2" s="247"/>
    </row>
    <row r="3" spans="2:10" s="17" customFormat="1" ht="13.15">
      <c r="B3" s="45" t="s">
        <v>252</v>
      </c>
      <c r="C3" s="247"/>
      <c r="D3" s="247"/>
      <c r="E3" s="247"/>
      <c r="F3" s="247"/>
      <c r="G3" s="247"/>
      <c r="H3" s="247"/>
      <c r="I3" s="247"/>
      <c r="J3" s="247"/>
    </row>
    <row r="4" spans="2:10" s="17" customFormat="1" ht="13.15">
      <c r="B4" s="247"/>
      <c r="C4" s="247"/>
      <c r="D4" s="247"/>
      <c r="E4" s="247"/>
      <c r="F4" s="247"/>
      <c r="G4" s="247"/>
      <c r="H4" s="247"/>
      <c r="I4" s="247"/>
      <c r="J4" s="247"/>
    </row>
    <row r="5" spans="2:10" s="17" customFormat="1" ht="13.9" thickBot="1">
      <c r="B5" s="66" t="s">
        <v>342</v>
      </c>
      <c r="C5" s="66"/>
      <c r="D5" s="66" t="s">
        <v>343</v>
      </c>
      <c r="E5" s="66"/>
      <c r="F5" s="66"/>
      <c r="G5" s="66"/>
      <c r="H5" s="66"/>
      <c r="I5" s="66"/>
      <c r="J5" s="66"/>
    </row>
    <row r="6" spans="2:10" s="17" customFormat="1" ht="13.15">
      <c r="B6" s="284" t="s">
        <v>163</v>
      </c>
      <c r="C6" s="295">
        <f>SUM(D23:D25)/1000000</f>
        <v>1.6826386538890767E-5</v>
      </c>
      <c r="D6" s="43" t="s">
        <v>489</v>
      </c>
      <c r="E6" s="247"/>
      <c r="F6" s="247"/>
      <c r="G6" s="247"/>
      <c r="H6" s="247"/>
      <c r="I6" s="247"/>
      <c r="J6" s="247"/>
    </row>
    <row r="7" spans="2:10" s="17" customFormat="1" ht="15.6">
      <c r="B7" s="296" t="s">
        <v>345</v>
      </c>
      <c r="C7" s="344">
        <f>SUM(E23:E25)</f>
        <v>8.0802000000000003E-5</v>
      </c>
      <c r="D7" s="43" t="s">
        <v>448</v>
      </c>
      <c r="E7" s="247"/>
      <c r="F7" s="247"/>
      <c r="G7" s="247"/>
      <c r="H7" s="247"/>
      <c r="I7" s="247"/>
      <c r="J7" s="247"/>
    </row>
    <row r="8" spans="2:10" s="17" customFormat="1" ht="13.15">
      <c r="B8" s="49" t="s">
        <v>347</v>
      </c>
      <c r="C8" s="50">
        <f>IF(C6&gt;0,C7/C6,0)</f>
        <v>4.8021005468549429</v>
      </c>
      <c r="D8" s="43" t="s">
        <v>348</v>
      </c>
      <c r="E8" s="247"/>
      <c r="F8" s="247"/>
      <c r="G8" s="247"/>
      <c r="H8" s="247"/>
      <c r="I8" s="247"/>
      <c r="J8" s="247"/>
    </row>
    <row r="9" spans="2:10" s="17" customFormat="1" ht="13.15">
      <c r="B9" s="247"/>
      <c r="C9" s="247"/>
      <c r="D9" s="247"/>
      <c r="E9" s="247"/>
      <c r="F9" s="247"/>
      <c r="G9" s="247"/>
      <c r="H9" s="247"/>
      <c r="I9" s="247"/>
      <c r="J9" s="247"/>
    </row>
    <row r="10" spans="2:10" s="17" customFormat="1" ht="13.15">
      <c r="B10" s="247"/>
      <c r="C10" s="247"/>
      <c r="D10" s="247"/>
      <c r="E10" s="247"/>
      <c r="F10" s="247"/>
      <c r="G10" s="247"/>
      <c r="H10" s="247"/>
      <c r="I10" s="247"/>
      <c r="J10" s="247"/>
    </row>
    <row r="11" spans="2:10" s="17" customFormat="1" ht="13.15">
      <c r="B11" s="77" t="s">
        <v>279</v>
      </c>
      <c r="C11" s="77"/>
      <c r="D11" s="103"/>
      <c r="E11" s="77"/>
      <c r="F11" s="77"/>
      <c r="G11" s="77"/>
      <c r="H11" s="77"/>
      <c r="I11" s="77"/>
      <c r="J11" s="77"/>
    </row>
    <row r="12" spans="2:10" s="17" customFormat="1" ht="15.6">
      <c r="B12" s="73" t="str">
        <f>B22</f>
        <v>Generation Type</v>
      </c>
      <c r="C12" s="72" t="s">
        <v>525</v>
      </c>
      <c r="D12" s="73" t="s">
        <v>254</v>
      </c>
      <c r="E12" s="73"/>
      <c r="F12" s="73"/>
      <c r="G12" s="73"/>
      <c r="H12" s="73"/>
      <c r="I12" s="73"/>
      <c r="J12" s="73"/>
    </row>
    <row r="13" spans="2:10" s="17" customFormat="1" ht="13.15">
      <c r="B13" s="284" t="str">
        <f>B23</f>
        <v>Wind</v>
      </c>
      <c r="C13" s="74">
        <f>IF(Dashboard!$S$2=TRUE,Factors!D56,Factors!F56)</f>
        <v>13</v>
      </c>
      <c r="D13" s="215" t="str">
        <f>IF(Dashboard!$S$2=TRUE,Factors!E56,Factors!G56)</f>
        <v>NREL Total Life Cycle Emissions from Wind (Table 1):
https://www.nrel.gov/docs/fy21osti/80580.pdf</v>
      </c>
      <c r="E13" s="247"/>
      <c r="F13" s="247"/>
      <c r="G13" s="247"/>
      <c r="H13" s="247"/>
      <c r="I13" s="247"/>
      <c r="J13" s="247"/>
    </row>
    <row r="14" spans="2:10" s="17" customFormat="1" ht="13.15">
      <c r="B14" s="284" t="str">
        <f>B24</f>
        <v>Solar</v>
      </c>
      <c r="C14" s="74">
        <f>IF(Dashboard!$S$2=TRUE,Factors!D57,Factors!F57)</f>
        <v>43</v>
      </c>
      <c r="D14" s="215" t="str">
        <f>IF(Dashboard!$S$2=TRUE,Factors!E57,Factors!G57)</f>
        <v>NREL Total Life Cycle Emissions from Photovoltaics (Table 1):
https://www.nrel.gov/docs/fy21osti/80580.pdf</v>
      </c>
      <c r="E14" s="247"/>
      <c r="F14" s="247"/>
      <c r="G14" s="247"/>
      <c r="H14" s="247"/>
      <c r="I14" s="247"/>
      <c r="J14" s="247"/>
    </row>
    <row r="15" spans="2:10" s="17" customFormat="1" ht="13.15">
      <c r="B15" s="284" t="str">
        <f>B25</f>
        <v>Geothermal</v>
      </c>
      <c r="C15" s="74">
        <f>IF(Dashboard!$S$2=TRUE,Factors!D58,Factors!F58)</f>
        <v>37</v>
      </c>
      <c r="D15" s="215" t="str">
        <f>IF(Dashboard!$S$2=TRUE,Factors!E58,Factors!G58)</f>
        <v>NREL Total Life Cycle Emissions from Geothermal (Table 1):
https://www.nrel.gov/docs/fy21osti/80580.pdf</v>
      </c>
      <c r="E15" s="247"/>
      <c r="F15" s="247"/>
      <c r="G15" s="247"/>
      <c r="H15" s="247"/>
      <c r="I15" s="247"/>
      <c r="J15" s="247"/>
    </row>
    <row r="16" spans="2:10" s="17" customFormat="1" ht="13.15">
      <c r="B16" s="45" t="s">
        <v>526</v>
      </c>
      <c r="C16" s="247"/>
      <c r="D16" s="247"/>
      <c r="E16" s="247"/>
      <c r="F16" s="247"/>
      <c r="G16" s="247"/>
      <c r="H16" s="247"/>
      <c r="I16" s="247"/>
      <c r="J16" s="247"/>
    </row>
    <row r="17" spans="2:10" s="17" customFormat="1" ht="13.15">
      <c r="B17" s="247"/>
      <c r="C17" s="247"/>
      <c r="D17" s="45"/>
      <c r="E17" s="247"/>
      <c r="F17" s="247"/>
      <c r="G17" s="247"/>
      <c r="H17" s="247"/>
      <c r="I17" s="247"/>
      <c r="J17" s="247"/>
    </row>
    <row r="18" spans="2:10" s="17" customFormat="1" ht="13.15">
      <c r="B18" s="77" t="s">
        <v>359</v>
      </c>
      <c r="C18" s="77"/>
      <c r="D18" s="103" t="s">
        <v>343</v>
      </c>
      <c r="E18" s="77"/>
      <c r="F18" s="77"/>
      <c r="G18" s="77"/>
      <c r="H18" s="77"/>
      <c r="I18" s="77"/>
      <c r="J18" s="77"/>
    </row>
    <row r="19" spans="2:10" s="17" customFormat="1" ht="13.15">
      <c r="B19" s="284" t="s">
        <v>278</v>
      </c>
      <c r="C19" s="108">
        <f>IF(Dashboard!$S$2=TRUE,Factors!D26,Factors!F26)</f>
        <v>277.77800000000002</v>
      </c>
      <c r="D19" s="215" t="str">
        <f>IF(Dashboard!$S$2=TRUE,Factors!E26,Factors!G26)</f>
        <v>Unit conversion</v>
      </c>
      <c r="E19" s="247"/>
      <c r="F19" s="247"/>
      <c r="G19" s="247"/>
      <c r="H19" s="247"/>
      <c r="I19" s="247"/>
      <c r="J19" s="247"/>
    </row>
    <row r="20" spans="2:10" s="17" customFormat="1" ht="13.15">
      <c r="B20" s="247"/>
      <c r="C20" s="247"/>
      <c r="D20" s="247"/>
      <c r="E20" s="247"/>
      <c r="F20" s="247"/>
      <c r="G20" s="247"/>
      <c r="H20" s="247"/>
      <c r="I20" s="247"/>
      <c r="J20" s="247"/>
    </row>
    <row r="21" spans="2:10" s="17" customFormat="1" ht="13.15">
      <c r="B21" s="77" t="s">
        <v>463</v>
      </c>
      <c r="C21" s="77"/>
      <c r="D21" s="103"/>
      <c r="E21" s="77"/>
      <c r="F21" s="77"/>
      <c r="G21" s="77"/>
      <c r="H21" s="77"/>
      <c r="I21" s="77"/>
      <c r="J21" s="77"/>
    </row>
    <row r="22" spans="2:10" s="17" customFormat="1" ht="30" customHeight="1">
      <c r="B22" s="25" t="s">
        <v>527</v>
      </c>
      <c r="C22" s="226" t="s">
        <v>528</v>
      </c>
      <c r="D22" s="226" t="s">
        <v>529</v>
      </c>
      <c r="E22" s="226" t="s">
        <v>518</v>
      </c>
      <c r="F22" s="247"/>
      <c r="G22" s="247"/>
      <c r="H22" s="247"/>
      <c r="I22" s="247"/>
      <c r="J22" s="247"/>
    </row>
    <row r="23" spans="2:10" s="17" customFormat="1" ht="13.15">
      <c r="B23" s="350" t="str">
        <f>Dashboard!B35</f>
        <v>Wind</v>
      </c>
      <c r="C23" s="109">
        <f>Dashboard!C35</f>
        <v>4006</v>
      </c>
      <c r="D23" s="351">
        <f>C23/$C$19</f>
        <v>14.421588462729229</v>
      </c>
      <c r="E23" s="352">
        <f>C23*C13/1000000000</f>
        <v>5.2077999999999998E-5</v>
      </c>
      <c r="F23" s="247"/>
      <c r="G23" s="247"/>
      <c r="H23" s="247"/>
      <c r="I23" s="247"/>
      <c r="J23" s="247"/>
    </row>
    <row r="24" spans="2:10" s="17" customFormat="1" ht="13.15">
      <c r="B24" s="284" t="str">
        <f>Dashboard!B36</f>
        <v>Solar</v>
      </c>
      <c r="C24" s="27">
        <f>Dashboard!C36</f>
        <v>668</v>
      </c>
      <c r="D24" s="353">
        <f>C24/$C$19</f>
        <v>2.4047980761615388</v>
      </c>
      <c r="E24" s="338">
        <f>C24*C14/1000000000</f>
        <v>2.8724000000000001E-5</v>
      </c>
      <c r="F24" s="247"/>
      <c r="G24" s="247"/>
      <c r="H24" s="247"/>
      <c r="I24" s="247"/>
      <c r="J24" s="247"/>
    </row>
    <row r="25" spans="2:10" s="17" customFormat="1" ht="13.15">
      <c r="B25" s="296" t="str">
        <f>Dashboard!B37</f>
        <v>Geothermal</v>
      </c>
      <c r="C25" s="44">
        <f>Dashboard!C37</f>
        <v>0</v>
      </c>
      <c r="D25" s="354">
        <f>C25/$C$19</f>
        <v>0</v>
      </c>
      <c r="E25" s="344">
        <f>C25*C15/1000000000</f>
        <v>0</v>
      </c>
      <c r="F25" s="247"/>
      <c r="G25" s="247"/>
      <c r="H25" s="247"/>
      <c r="I25" s="247"/>
      <c r="J25" s="247"/>
    </row>
    <row r="26" spans="2:10" s="17" customFormat="1" ht="13.15">
      <c r="B26" s="284" t="s">
        <v>520</v>
      </c>
      <c r="C26" s="301">
        <f>SUM(C23:C25)</f>
        <v>4674</v>
      </c>
      <c r="D26" s="301">
        <f>SUM(D23:D25)</f>
        <v>16.826386538890766</v>
      </c>
      <c r="E26" s="319">
        <f>SUM(E23:E25)</f>
        <v>8.0802000000000003E-5</v>
      </c>
      <c r="F26" s="247"/>
      <c r="G26" s="247"/>
      <c r="H26" s="247"/>
      <c r="I26" s="247"/>
      <c r="J26" s="247"/>
    </row>
    <row r="27" spans="2:10" s="17" customFormat="1" ht="13.15">
      <c r="B27" s="284"/>
      <c r="C27" s="301"/>
      <c r="D27" s="301"/>
      <c r="E27" s="319"/>
      <c r="F27" s="247"/>
      <c r="G27" s="247"/>
      <c r="H27" s="247"/>
      <c r="I27" s="247"/>
      <c r="J27" s="247"/>
    </row>
    <row r="28" spans="2:10" s="17" customFormat="1" ht="13.15">
      <c r="B28" s="85" t="s">
        <v>435</v>
      </c>
      <c r="C28" s="288"/>
      <c r="D28" s="288"/>
      <c r="E28" s="288"/>
      <c r="F28" s="247"/>
      <c r="G28" s="247"/>
      <c r="H28" s="247"/>
      <c r="I28" s="247"/>
      <c r="J28" s="247"/>
    </row>
    <row r="29" spans="2:10" s="17" customFormat="1" ht="41.25">
      <c r="B29" s="247"/>
      <c r="C29" s="69" t="s">
        <v>351</v>
      </c>
      <c r="D29" s="69" t="s">
        <v>530</v>
      </c>
      <c r="E29" s="69" t="s">
        <v>531</v>
      </c>
      <c r="F29" s="69"/>
      <c r="G29" s="69"/>
      <c r="H29" s="69"/>
      <c r="I29" s="69"/>
      <c r="J29" s="247"/>
    </row>
    <row r="30" spans="2:10" s="17" customFormat="1" ht="13.15">
      <c r="B30" s="284"/>
      <c r="C30" s="247"/>
      <c r="D30" s="247"/>
      <c r="E30" s="247"/>
      <c r="F30" s="247"/>
      <c r="G30" s="247"/>
      <c r="H30" s="247"/>
      <c r="I30" s="247"/>
      <c r="J30" s="247"/>
    </row>
    <row r="31" spans="2:10"/>
  </sheetData>
  <sheetProtection selectLockedCells="1" selectUnlockedCells="1"/>
  <pageMargins left="0.7" right="0.7" top="0.75" bottom="0.75" header="0.3" footer="0.3"/>
  <pageSetup scale="64" orientation="landscape" horizontalDpi="360" verticalDpi="360"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P11"/>
  <sheetViews>
    <sheetView showGridLines="0" zoomScale="70" zoomScaleNormal="70" workbookViewId="0">
      <pane ySplit="1" topLeftCell="A2" activePane="bottomLeft" state="frozen"/>
      <selection pane="bottomLeft" activeCell="A2" sqref="A2"/>
      <selection activeCell="B16" sqref="B16"/>
    </sheetView>
  </sheetViews>
  <sheetFormatPr defaultColWidth="0" defaultRowHeight="14.45" zeroHeight="1"/>
  <cols>
    <col min="1" max="1" width="9.140625" customWidth="1"/>
    <col min="2" max="2" width="162.7109375" customWidth="1"/>
    <col min="3" max="3" width="9.140625" customWidth="1"/>
    <col min="4" max="16" width="0" hidden="1" customWidth="1"/>
    <col min="17" max="16384" width="9.140625" hidden="1"/>
  </cols>
  <sheetData>
    <row r="1" spans="2:2" ht="99.75" customHeight="1"/>
    <row r="2" spans="2:2" s="101" customFormat="1" ht="24.6">
      <c r="B2" s="24" t="s">
        <v>532</v>
      </c>
    </row>
    <row r="3" spans="2:2" s="101" customFormat="1" ht="13.9"/>
    <row r="4" spans="2:2" s="101" customFormat="1" ht="13.9">
      <c r="B4" s="186" t="s">
        <v>533</v>
      </c>
    </row>
    <row r="5" spans="2:2" s="101" customFormat="1" ht="13.9"/>
    <row r="6" spans="2:2" s="17" customFormat="1" ht="13.15">
      <c r="B6" s="248" t="s">
        <v>534</v>
      </c>
    </row>
    <row r="7" spans="2:2" s="17" customFormat="1" ht="13.15">
      <c r="B7" s="248"/>
    </row>
    <row r="8" spans="2:2" s="17" customFormat="1" ht="13.15">
      <c r="B8" s="248" t="s">
        <v>535</v>
      </c>
    </row>
    <row r="9" spans="2:2" s="17" customFormat="1" ht="13.15">
      <c r="B9" s="248"/>
    </row>
    <row r="10" spans="2:2" s="17" customFormat="1" ht="26.45">
      <c r="B10" s="248" t="s">
        <v>536</v>
      </c>
    </row>
    <row r="11" spans="2:2" s="101" customFormat="1" ht="13.9"/>
  </sheetData>
  <sheetProtection selectLockedCells="1" selectUnlockedCell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2D650-E5FB-447D-90AC-E249F8928E77}">
  <sheetPr>
    <tabColor theme="1"/>
  </sheetPr>
  <dimension ref="A1:W202"/>
  <sheetViews>
    <sheetView showGridLines="0" zoomScale="70" zoomScaleNormal="70" zoomScaleSheetLayoutView="70" workbookViewId="0">
      <pane ySplit="1" topLeftCell="A2" activePane="bottomLeft" state="frozen"/>
      <selection pane="bottomLeft" activeCell="A2" sqref="A2"/>
      <selection activeCell="B16" sqref="B16"/>
    </sheetView>
  </sheetViews>
  <sheetFormatPr defaultColWidth="0" defaultRowHeight="14.45"/>
  <cols>
    <col min="1" max="22" width="9.140625" customWidth="1"/>
    <col min="23" max="23" width="9" hidden="1" customWidth="1"/>
    <col min="24" max="16384" width="9.140625" hidden="1"/>
  </cols>
  <sheetData>
    <row r="1" spans="2:21" ht="99.75" customHeight="1"/>
    <row r="2" spans="2:21" s="101" customFormat="1" ht="24.6">
      <c r="B2" s="24" t="s">
        <v>5</v>
      </c>
    </row>
    <row r="3" spans="2:21" s="101" customFormat="1" ht="13.9"/>
    <row r="4" spans="2:21" s="101" customFormat="1" ht="72" customHeight="1">
      <c r="B4" s="355" t="s">
        <v>6</v>
      </c>
      <c r="C4" s="355"/>
      <c r="D4" s="355"/>
      <c r="E4" s="355"/>
      <c r="F4" s="355"/>
      <c r="G4" s="355"/>
      <c r="H4" s="355"/>
      <c r="I4" s="355"/>
      <c r="J4" s="355"/>
      <c r="K4" s="355"/>
      <c r="L4" s="355"/>
      <c r="M4" s="355"/>
      <c r="N4" s="355"/>
      <c r="O4" s="355"/>
      <c r="P4" s="355"/>
      <c r="Q4" s="355"/>
      <c r="R4" s="355"/>
      <c r="S4" s="355"/>
      <c r="T4" s="355"/>
      <c r="U4" s="355"/>
    </row>
    <row r="5" spans="2:21" s="101" customFormat="1" ht="13.9"/>
    <row r="6" spans="2:21" s="101" customFormat="1" ht="13.9"/>
    <row r="7" spans="2:21" s="101" customFormat="1" ht="13.9"/>
    <row r="8" spans="2:21" s="101" customFormat="1" ht="13.9"/>
    <row r="9" spans="2:21" s="101" customFormat="1" ht="13.9"/>
    <row r="10" spans="2:21" s="101" customFormat="1" ht="13.9"/>
    <row r="11" spans="2:21" s="101" customFormat="1" ht="13.9"/>
    <row r="12" spans="2:21" s="101" customFormat="1" ht="13.9"/>
    <row r="13" spans="2:21" s="101" customFormat="1" ht="13.9"/>
    <row r="14" spans="2:21" s="101" customFormat="1" ht="13.9"/>
    <row r="15" spans="2:21" s="101" customFormat="1" ht="13.9"/>
    <row r="16" spans="2:21" s="101" customFormat="1" ht="13.9"/>
    <row r="17" s="101" customFormat="1" ht="13.9"/>
    <row r="18" s="101" customFormat="1" ht="13.9"/>
    <row r="19" s="101" customFormat="1" ht="13.9"/>
    <row r="20" s="101" customFormat="1" ht="13.9"/>
    <row r="21" s="101" customFormat="1" ht="13.9"/>
    <row r="22" s="101" customFormat="1" ht="13.9"/>
    <row r="23" s="101" customFormat="1" ht="13.9"/>
    <row r="24" s="101" customFormat="1" ht="13.9"/>
    <row r="25" s="101" customFormat="1" ht="13.9"/>
    <row r="26" s="101" customFormat="1" ht="13.9"/>
    <row r="27" s="101" customFormat="1" ht="13.9"/>
    <row r="28" s="101" customFormat="1" ht="13.9"/>
    <row r="29" s="101" customFormat="1" ht="13.9"/>
    <row r="30" s="101" customFormat="1" ht="13.9"/>
    <row r="31" s="101" customFormat="1" ht="13.9"/>
    <row r="32" s="101" customFormat="1" ht="13.9"/>
    <row r="33" s="101" customFormat="1" ht="13.9"/>
    <row r="34" s="101" customFormat="1" ht="13.9"/>
    <row r="35" s="101" customFormat="1" ht="13.9"/>
    <row r="36" s="101" customFormat="1" ht="13.9"/>
    <row r="37" s="101" customFormat="1" ht="13.9"/>
    <row r="38" s="101" customFormat="1" ht="13.9"/>
    <row r="39" s="101" customFormat="1" ht="13.9"/>
    <row r="40" s="101" customFormat="1" ht="13.9"/>
    <row r="41" s="101" customFormat="1" ht="13.9"/>
    <row r="42" s="101" customFormat="1" ht="13.9"/>
    <row r="43" s="101" customFormat="1" ht="13.9"/>
    <row r="44" s="101" customFormat="1" ht="13.9"/>
    <row r="45" s="101" customFormat="1" ht="13.9"/>
    <row r="46" s="101" customFormat="1" ht="13.9"/>
    <row r="47" s="101" customFormat="1" ht="13.9"/>
    <row r="48" s="101" customFormat="1" ht="13.9"/>
    <row r="49" s="101" customFormat="1" ht="13.9"/>
    <row r="50" s="101" customFormat="1" ht="13.9"/>
    <row r="51" s="101" customFormat="1" ht="13.9"/>
    <row r="52" s="101" customFormat="1" ht="13.9"/>
    <row r="53" s="101" customFormat="1" ht="13.9"/>
    <row r="54" s="101" customFormat="1" ht="13.9"/>
    <row r="55" s="101" customFormat="1" ht="13.9"/>
    <row r="56" s="101" customFormat="1" ht="13.9"/>
    <row r="57" s="101" customFormat="1" ht="13.9"/>
    <row r="58" s="101" customFormat="1" ht="13.9"/>
    <row r="59" s="101" customFormat="1" ht="13.9"/>
    <row r="60" s="101" customFormat="1" ht="13.9"/>
    <row r="61" s="101" customFormat="1" ht="13.9"/>
    <row r="62" s="101" customFormat="1" ht="13.9"/>
    <row r="63" s="101" customFormat="1" ht="13.9"/>
    <row r="64" s="101" customFormat="1" ht="13.9"/>
    <row r="65" s="101" customFormat="1" ht="13.9"/>
    <row r="66" s="101" customFormat="1" ht="13.9"/>
    <row r="67" s="101" customFormat="1" ht="13.9"/>
    <row r="68" s="101" customFormat="1" ht="13.9"/>
    <row r="69" s="101" customFormat="1" ht="13.9"/>
    <row r="70" s="101" customFormat="1" ht="13.9"/>
    <row r="71" s="101" customFormat="1" ht="13.9"/>
    <row r="72" s="101" customFormat="1" ht="13.9"/>
    <row r="73" s="101" customFormat="1" ht="13.9"/>
    <row r="74" s="101" customFormat="1" ht="13.9"/>
    <row r="75" s="101" customFormat="1" ht="13.9"/>
    <row r="76" s="101" customFormat="1" ht="13.9"/>
    <row r="77" s="101" customFormat="1" ht="13.9"/>
    <row r="78" s="101" customFormat="1" ht="13.9"/>
    <row r="79" s="101" customFormat="1" ht="13.9"/>
    <row r="80" s="101" customFormat="1" ht="13.9"/>
    <row r="81" spans="5:5" s="101" customFormat="1" ht="13.9"/>
    <row r="82" spans="5:5" s="101" customFormat="1" ht="13.9"/>
    <row r="83" spans="5:5" s="101" customFormat="1" ht="13.9"/>
    <row r="84" spans="5:5" s="101" customFormat="1" ht="13.9"/>
    <row r="85" spans="5:5" s="101" customFormat="1" ht="13.9"/>
    <row r="86" spans="5:5" s="101" customFormat="1" ht="13.9"/>
    <row r="87" spans="5:5" s="101" customFormat="1" ht="13.9"/>
    <row r="88" spans="5:5" s="101" customFormat="1" ht="13.9"/>
    <row r="89" spans="5:5" s="101" customFormat="1" ht="13.9"/>
    <row r="90" spans="5:5" s="101" customFormat="1" ht="13.9"/>
    <row r="91" spans="5:5" s="101" customFormat="1" ht="13.9"/>
    <row r="92" spans="5:5" s="101" customFormat="1" ht="13.9"/>
    <row r="93" spans="5:5" s="101" customFormat="1" ht="13.9"/>
    <row r="94" spans="5:5" s="101" customFormat="1" ht="13.9">
      <c r="E94" s="192" t="s">
        <v>7</v>
      </c>
    </row>
    <row r="95" spans="5:5" s="101" customFormat="1" ht="13.9">
      <c r="E95" s="192" t="s">
        <v>8</v>
      </c>
    </row>
    <row r="96" spans="5:5" s="101" customFormat="1" ht="13.9">
      <c r="E96" s="192" t="s">
        <v>9</v>
      </c>
    </row>
    <row r="97" spans="5:5" s="101" customFormat="1" ht="13.9">
      <c r="E97" s="192" t="s">
        <v>10</v>
      </c>
    </row>
    <row r="98" spans="5:5" s="101" customFormat="1" ht="13.9"/>
    <row r="99" spans="5:5" s="101" customFormat="1" ht="13.9"/>
    <row r="100" spans="5:5" s="101" customFormat="1" ht="13.9"/>
    <row r="101" spans="5:5" s="101" customFormat="1" ht="13.9"/>
    <row r="102" spans="5:5" s="101" customFormat="1" ht="13.9"/>
    <row r="103" spans="5:5" s="101" customFormat="1" ht="13.9"/>
    <row r="104" spans="5:5" s="101" customFormat="1" ht="13.9"/>
    <row r="105" spans="5:5" s="101" customFormat="1" ht="13.9"/>
    <row r="106" spans="5:5" s="101" customFormat="1" ht="13.9"/>
    <row r="107" spans="5:5" s="101" customFormat="1" ht="13.9"/>
    <row r="108" spans="5:5" s="101" customFormat="1" ht="13.9"/>
    <row r="109" spans="5:5" s="101" customFormat="1" ht="13.9"/>
    <row r="110" spans="5:5" s="101" customFormat="1" ht="13.9"/>
    <row r="111" spans="5:5" s="101" customFormat="1" ht="13.9"/>
    <row r="112" spans="5:5" s="101" customFormat="1" ht="13.9"/>
    <row r="113" s="101" customFormat="1" ht="13.9"/>
    <row r="114" s="101" customFormat="1" ht="13.9"/>
    <row r="115" s="101" customFormat="1" ht="13.9"/>
    <row r="116" s="101" customFormat="1" ht="13.9"/>
    <row r="117" s="101" customFormat="1" ht="13.9"/>
    <row r="118" s="101" customFormat="1" ht="13.9"/>
    <row r="119" s="101" customFormat="1" ht="13.9"/>
    <row r="120" s="101" customFormat="1" ht="13.9"/>
    <row r="121" s="101" customFormat="1" ht="13.9"/>
    <row r="122" s="101" customFormat="1" ht="13.9"/>
    <row r="123" s="101" customFormat="1" ht="13.9"/>
    <row r="124" s="101" customFormat="1" ht="13.9"/>
    <row r="125" s="101" customFormat="1" ht="13.9"/>
    <row r="126" s="101" customFormat="1" ht="13.9"/>
    <row r="127" s="101" customFormat="1" ht="13.9"/>
    <row r="128" s="101" customFormat="1" ht="13.9"/>
    <row r="129" s="101" customFormat="1" ht="13.9"/>
    <row r="130" s="101" customFormat="1" ht="13.9"/>
    <row r="131" s="101" customFormat="1" ht="13.9"/>
    <row r="132" s="101" customFormat="1" ht="13.9"/>
    <row r="133" s="101" customFormat="1" ht="13.9"/>
    <row r="134" s="101" customFormat="1" ht="13.9"/>
    <row r="135" s="101" customFormat="1" ht="13.9"/>
    <row r="136" s="101" customFormat="1" ht="13.9"/>
    <row r="137" s="101" customFormat="1" ht="13.9"/>
    <row r="138" s="101" customFormat="1" ht="13.9"/>
    <row r="139" s="101" customFormat="1" ht="13.9"/>
    <row r="140" s="101" customFormat="1" ht="13.9"/>
    <row r="141" s="101" customFormat="1" ht="13.9"/>
    <row r="142" s="101" customFormat="1" ht="13.9"/>
    <row r="143" s="101" customFormat="1" ht="13.9"/>
    <row r="144" s="101" customFormat="1" ht="13.9"/>
    <row r="145" s="101" customFormat="1" ht="13.9"/>
    <row r="146" s="101" customFormat="1" ht="13.9"/>
    <row r="147" s="101" customFormat="1" ht="13.9"/>
    <row r="148" s="101" customFormat="1" ht="13.9"/>
    <row r="149" s="101" customFormat="1" ht="13.9"/>
    <row r="150" s="101" customFormat="1" ht="13.9"/>
    <row r="151" s="101" customFormat="1" ht="13.9"/>
    <row r="152" s="101" customFormat="1" ht="13.9"/>
    <row r="153" s="101" customFormat="1" ht="13.9"/>
    <row r="154" s="101" customFormat="1" ht="13.9"/>
    <row r="155" s="101" customFormat="1" ht="13.9"/>
    <row r="156" s="101" customFormat="1" ht="13.9"/>
    <row r="157" s="101" customFormat="1" ht="13.9"/>
    <row r="158" s="101" customFormat="1" ht="13.9"/>
    <row r="159" s="101" customFormat="1" ht="13.9"/>
    <row r="160" s="101" customFormat="1" ht="13.9"/>
    <row r="161" s="101" customFormat="1" ht="13.9"/>
    <row r="162" s="101" customFormat="1" ht="13.9"/>
    <row r="163" s="101" customFormat="1" ht="13.9"/>
    <row r="164" s="101" customFormat="1" ht="13.9"/>
    <row r="165" s="101" customFormat="1" ht="13.9"/>
    <row r="166" s="101" customFormat="1" ht="13.9"/>
    <row r="167" s="101" customFormat="1" ht="13.9"/>
    <row r="168" s="101" customFormat="1" ht="13.9"/>
    <row r="169" s="101" customFormat="1" ht="13.9"/>
    <row r="170" s="101" customFormat="1" ht="13.9"/>
    <row r="171" s="101" customFormat="1" ht="13.9"/>
    <row r="172" s="101" customFormat="1" ht="13.9"/>
    <row r="173" s="101" customFormat="1" ht="13.9"/>
    <row r="174" s="101" customFormat="1" ht="13.9"/>
    <row r="175" s="101" customFormat="1" ht="13.9"/>
    <row r="176" s="101" customFormat="1" ht="13.9"/>
    <row r="177" s="101" customFormat="1" ht="13.9"/>
    <row r="178" s="101" customFormat="1" ht="13.9"/>
    <row r="179" s="101" customFormat="1" ht="13.9"/>
    <row r="180" s="101" customFormat="1" ht="13.9"/>
    <row r="181" s="101" customFormat="1" ht="13.9"/>
    <row r="182" s="101" customFormat="1" ht="13.9"/>
    <row r="183" s="101" customFormat="1" ht="13.9"/>
    <row r="184" s="101" customFormat="1" ht="13.9"/>
    <row r="185" s="101" customFormat="1" ht="13.9"/>
    <row r="186" s="101" customFormat="1" ht="13.9"/>
    <row r="187" s="101" customFormat="1" ht="13.9"/>
    <row r="188" s="101" customFormat="1" ht="13.9"/>
    <row r="189" s="101" customFormat="1" ht="13.9"/>
    <row r="190" s="101" customFormat="1" ht="13.9"/>
    <row r="191" s="101" customFormat="1" ht="13.9"/>
    <row r="192" s="101" customFormat="1" ht="13.9"/>
    <row r="193" s="101" customFormat="1" ht="13.9"/>
    <row r="194" s="101" customFormat="1" ht="13.9"/>
    <row r="195" s="101" customFormat="1" ht="13.9"/>
    <row r="196" s="101" customFormat="1" ht="13.9"/>
    <row r="197" s="101" customFormat="1" ht="13.9"/>
    <row r="198" s="101" customFormat="1" ht="13.9"/>
    <row r="199" s="101" customFormat="1" ht="13.9"/>
    <row r="200" s="101" customFormat="1" ht="13.9"/>
    <row r="201" s="101" customFormat="1" ht="13.9"/>
    <row r="202" s="101" customFormat="1" ht="13.9"/>
  </sheetData>
  <sheetProtection selectLockedCells="1" selectUnlockedCells="1"/>
  <mergeCells count="1">
    <mergeCell ref="B4:U4"/>
  </mergeCells>
  <pageMargins left="0.7" right="0.7" top="0.75" bottom="0.75" header="0.3" footer="0.3"/>
  <pageSetup scale="3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1A998-7D7D-47A0-B395-6DF8572B05A1}">
  <sheetPr>
    <tabColor theme="1"/>
  </sheetPr>
  <dimension ref="A1:W43"/>
  <sheetViews>
    <sheetView showGridLines="0" zoomScale="70" zoomScaleNormal="70" zoomScaleSheetLayoutView="70" workbookViewId="0">
      <pane ySplit="1" topLeftCell="A2" activePane="bottomLeft" state="frozen"/>
      <selection pane="bottomLeft" activeCell="A2" sqref="A2"/>
      <selection activeCell="B16" sqref="B16"/>
    </sheetView>
  </sheetViews>
  <sheetFormatPr defaultColWidth="0" defaultRowHeight="14.45" outlineLevelRow="1"/>
  <cols>
    <col min="1" max="1" width="9.140625" customWidth="1"/>
    <col min="2" max="2" width="20.85546875" customWidth="1"/>
    <col min="3" max="3" width="2.85546875" customWidth="1"/>
    <col min="4" max="4" width="130.85546875" customWidth="1"/>
    <col min="5" max="5" width="5.85546875" customWidth="1"/>
    <col min="6" max="21" width="9.140625" customWidth="1"/>
    <col min="22" max="23" width="9" hidden="1" customWidth="1"/>
    <col min="24" max="16384" width="9.140625" hidden="1"/>
  </cols>
  <sheetData>
    <row r="1" spans="2:6" ht="99.75" customHeight="1"/>
    <row r="2" spans="2:6" s="17" customFormat="1" ht="24.6">
      <c r="B2" s="24" t="s">
        <v>11</v>
      </c>
      <c r="C2" s="247"/>
      <c r="D2" s="247"/>
      <c r="E2" s="247"/>
      <c r="F2" s="247"/>
    </row>
    <row r="3" spans="2:6" s="17" customFormat="1" ht="13.15">
      <c r="B3" s="247"/>
      <c r="C3" s="247"/>
      <c r="D3" s="247"/>
      <c r="E3" s="247"/>
      <c r="F3" s="247"/>
    </row>
    <row r="4" spans="2:6" s="17" customFormat="1" ht="13.15">
      <c r="B4" s="125" t="s">
        <v>12</v>
      </c>
      <c r="C4" s="125"/>
      <c r="D4" s="125" t="s">
        <v>13</v>
      </c>
      <c r="E4" s="247"/>
      <c r="F4" s="247"/>
    </row>
    <row r="5" spans="2:6" s="17" customFormat="1" ht="5.0999999999999996" customHeight="1">
      <c r="B5" s="19"/>
      <c r="C5" s="19"/>
      <c r="D5" s="19"/>
      <c r="E5" s="247"/>
      <c r="F5" s="247"/>
    </row>
    <row r="6" spans="2:6" s="18" customFormat="1" ht="15" customHeight="1">
      <c r="B6" s="356" t="s">
        <v>14</v>
      </c>
      <c r="C6" s="20"/>
      <c r="D6" s="248" t="s">
        <v>15</v>
      </c>
      <c r="E6" s="249"/>
      <c r="F6" s="249"/>
    </row>
    <row r="7" spans="2:6" s="18" customFormat="1" ht="52.9" outlineLevel="1">
      <c r="B7" s="356"/>
      <c r="C7" s="20"/>
      <c r="D7" s="22" t="s">
        <v>16</v>
      </c>
      <c r="E7" s="249"/>
      <c r="F7" s="249"/>
    </row>
    <row r="8" spans="2:6" s="18" customFormat="1" ht="5.0999999999999996" customHeight="1" outlineLevel="1">
      <c r="B8" s="356"/>
      <c r="C8" s="20"/>
      <c r="D8" s="22"/>
      <c r="E8" s="249"/>
      <c r="F8" s="249"/>
    </row>
    <row r="9" spans="2:6" s="18" customFormat="1" ht="15" customHeight="1">
      <c r="B9" s="356"/>
      <c r="C9" s="20"/>
      <c r="D9" s="250" t="s">
        <v>17</v>
      </c>
      <c r="E9" s="249"/>
      <c r="F9" s="249"/>
    </row>
    <row r="10" spans="2:6" s="18" customFormat="1" ht="92.45" outlineLevel="1">
      <c r="B10" s="356"/>
      <c r="C10" s="20"/>
      <c r="D10" s="21" t="s">
        <v>18</v>
      </c>
      <c r="E10" s="249"/>
      <c r="F10" s="249"/>
    </row>
    <row r="11" spans="2:6" s="18" customFormat="1" ht="5.0999999999999996" customHeight="1" outlineLevel="1">
      <c r="B11" s="356"/>
      <c r="C11" s="20"/>
      <c r="D11" s="22"/>
      <c r="E11" s="249"/>
      <c r="F11" s="249"/>
    </row>
    <row r="12" spans="2:6" s="18" customFormat="1" ht="15" customHeight="1">
      <c r="B12" s="356"/>
      <c r="C12" s="20"/>
      <c r="D12" s="250" t="s">
        <v>19</v>
      </c>
      <c r="E12" s="249"/>
      <c r="F12" s="249"/>
    </row>
    <row r="13" spans="2:6" s="18" customFormat="1" ht="105.6" outlineLevel="1">
      <c r="B13" s="356"/>
      <c r="C13" s="20"/>
      <c r="D13" s="22" t="s">
        <v>20</v>
      </c>
      <c r="E13" s="249"/>
      <c r="F13" s="249"/>
    </row>
    <row r="14" spans="2:6" s="18" customFormat="1" ht="5.0999999999999996" customHeight="1" outlineLevel="1">
      <c r="B14" s="356"/>
      <c r="C14" s="20"/>
      <c r="D14" s="251"/>
      <c r="E14" s="249"/>
      <c r="F14" s="249"/>
    </row>
    <row r="15" spans="2:6" s="18" customFormat="1" ht="15" customHeight="1">
      <c r="B15" s="356"/>
      <c r="C15" s="20"/>
      <c r="D15" s="252" t="s">
        <v>21</v>
      </c>
      <c r="E15" s="249"/>
      <c r="F15" s="58"/>
    </row>
    <row r="16" spans="2:6" s="18" customFormat="1" ht="39.6" outlineLevel="1">
      <c r="B16" s="356"/>
      <c r="C16" s="20"/>
      <c r="D16" s="22" t="s">
        <v>22</v>
      </c>
      <c r="E16" s="249"/>
      <c r="F16" s="249"/>
    </row>
    <row r="17" spans="2:6" s="18" customFormat="1" ht="5.0999999999999996" customHeight="1" outlineLevel="1">
      <c r="B17" s="357"/>
      <c r="C17" s="20"/>
      <c r="D17" s="251"/>
      <c r="E17" s="249"/>
      <c r="F17" s="249"/>
    </row>
    <row r="18" spans="2:6" s="18" customFormat="1" ht="13.15">
      <c r="B18" s="20"/>
      <c r="C18" s="20"/>
      <c r="D18" s="253"/>
      <c r="E18" s="249"/>
      <c r="F18" s="249"/>
    </row>
    <row r="19" spans="2:6" s="18" customFormat="1" ht="15" customHeight="1">
      <c r="B19" s="356" t="s">
        <v>23</v>
      </c>
      <c r="C19" s="248"/>
      <c r="D19" s="248" t="s">
        <v>24</v>
      </c>
      <c r="E19" s="249"/>
      <c r="F19" s="249"/>
    </row>
    <row r="20" spans="2:6" s="18" customFormat="1" ht="36" outlineLevel="1">
      <c r="B20" s="356"/>
      <c r="C20" s="248"/>
      <c r="D20" s="22" t="s">
        <v>25</v>
      </c>
      <c r="E20" s="249"/>
      <c r="F20" s="249"/>
    </row>
    <row r="21" spans="2:6" s="18" customFormat="1" ht="5.0999999999999996" customHeight="1" outlineLevel="1">
      <c r="B21" s="356"/>
      <c r="C21" s="248"/>
      <c r="D21" s="254"/>
      <c r="E21" s="249"/>
      <c r="F21" s="249"/>
    </row>
    <row r="22" spans="2:6" s="18" customFormat="1" ht="15" customHeight="1">
      <c r="B22" s="356"/>
      <c r="C22" s="248"/>
      <c r="D22" s="255" t="s">
        <v>26</v>
      </c>
      <c r="E22" s="249"/>
      <c r="F22" s="249"/>
    </row>
    <row r="23" spans="2:6" s="18" customFormat="1" ht="26.45" outlineLevel="1">
      <c r="B23" s="356"/>
      <c r="C23" s="248"/>
      <c r="D23" s="21" t="s">
        <v>27</v>
      </c>
      <c r="E23" s="249"/>
      <c r="F23" s="249"/>
    </row>
    <row r="24" spans="2:6" s="18" customFormat="1" ht="5.0999999999999996" customHeight="1" outlineLevel="1">
      <c r="B24" s="356"/>
      <c r="C24" s="248"/>
      <c r="D24" s="256"/>
      <c r="E24" s="249"/>
      <c r="F24" s="249"/>
    </row>
    <row r="25" spans="2:6" s="18" customFormat="1" ht="15" customHeight="1">
      <c r="B25" s="356"/>
      <c r="C25" s="248"/>
      <c r="D25" s="255" t="s">
        <v>28</v>
      </c>
      <c r="E25" s="249"/>
      <c r="F25" s="249"/>
    </row>
    <row r="26" spans="2:6" s="18" customFormat="1" ht="30" customHeight="1" outlineLevel="1">
      <c r="B26" s="356"/>
      <c r="C26" s="248"/>
      <c r="D26" s="188" t="s">
        <v>29</v>
      </c>
      <c r="E26" s="249"/>
      <c r="F26" s="249"/>
    </row>
    <row r="27" spans="2:6" s="18" customFormat="1" ht="5.0999999999999996" customHeight="1" outlineLevel="1">
      <c r="B27" s="356"/>
      <c r="C27" s="248"/>
      <c r="D27" s="256"/>
      <c r="E27" s="249"/>
      <c r="F27" s="249"/>
    </row>
    <row r="28" spans="2:6" s="18" customFormat="1" ht="15" customHeight="1">
      <c r="B28" s="356"/>
      <c r="C28" s="248"/>
      <c r="D28" s="255" t="s">
        <v>30</v>
      </c>
      <c r="E28" s="249"/>
      <c r="F28" s="249"/>
    </row>
    <row r="29" spans="2:6" s="18" customFormat="1" ht="26.45" outlineLevel="1">
      <c r="B29" s="356"/>
      <c r="C29" s="248"/>
      <c r="D29" s="21" t="s">
        <v>31</v>
      </c>
      <c r="E29" s="249"/>
      <c r="F29" s="249"/>
    </row>
    <row r="30" spans="2:6" s="18" customFormat="1" ht="5.0999999999999996" customHeight="1" outlineLevel="1">
      <c r="B30" s="356"/>
      <c r="C30" s="248"/>
      <c r="D30" s="256"/>
      <c r="E30" s="249"/>
      <c r="F30" s="249"/>
    </row>
    <row r="31" spans="2:6" s="18" customFormat="1" ht="15" customHeight="1">
      <c r="B31" s="356"/>
      <c r="C31" s="248"/>
      <c r="D31" s="257" t="s">
        <v>32</v>
      </c>
      <c r="E31" s="249"/>
      <c r="F31" s="258"/>
    </row>
    <row r="32" spans="2:6" s="18" customFormat="1" ht="52.9" outlineLevel="1">
      <c r="B32" s="356"/>
      <c r="C32" s="248"/>
      <c r="D32" s="22" t="s">
        <v>33</v>
      </c>
      <c r="E32" s="249"/>
      <c r="F32" s="249"/>
    </row>
    <row r="33" spans="2:4" s="18" customFormat="1" ht="5.0999999999999996" customHeight="1" outlineLevel="1">
      <c r="B33" s="356"/>
      <c r="C33" s="248"/>
      <c r="D33" s="254"/>
    </row>
    <row r="34" spans="2:4" s="18" customFormat="1" ht="15" customHeight="1">
      <c r="B34" s="356"/>
      <c r="C34" s="248"/>
      <c r="D34" s="257" t="s">
        <v>34</v>
      </c>
    </row>
    <row r="35" spans="2:4" s="18" customFormat="1" ht="13.15" outlineLevel="1">
      <c r="B35" s="356"/>
      <c r="C35" s="248"/>
      <c r="D35" s="22" t="s">
        <v>35</v>
      </c>
    </row>
    <row r="36" spans="2:4" s="18" customFormat="1" ht="5.0999999999999996" customHeight="1" outlineLevel="1">
      <c r="B36" s="356"/>
      <c r="C36" s="248"/>
      <c r="D36" s="23"/>
    </row>
    <row r="37" spans="2:4" s="18" customFormat="1" ht="39.6" outlineLevel="1">
      <c r="B37" s="356"/>
      <c r="C37" s="248"/>
      <c r="D37" s="22" t="s">
        <v>36</v>
      </c>
    </row>
    <row r="38" spans="2:4" s="18" customFormat="1" ht="5.0999999999999996" customHeight="1" outlineLevel="1">
      <c r="B38" s="356"/>
      <c r="C38" s="248"/>
      <c r="D38" s="254"/>
    </row>
    <row r="39" spans="2:4" s="18" customFormat="1" ht="13.15">
      <c r="B39" s="248"/>
      <c r="C39" s="248"/>
      <c r="D39" s="253"/>
    </row>
    <row r="40" spans="2:4" s="18" customFormat="1" ht="15" customHeight="1">
      <c r="B40" s="356" t="s">
        <v>37</v>
      </c>
      <c r="C40" s="248"/>
      <c r="D40" s="248" t="s">
        <v>38</v>
      </c>
    </row>
    <row r="41" spans="2:4" s="18" customFormat="1" ht="118.9" outlineLevel="1">
      <c r="B41" s="356"/>
      <c r="C41" s="248"/>
      <c r="D41" s="188" t="s">
        <v>39</v>
      </c>
    </row>
    <row r="42" spans="2:4" s="18" customFormat="1" ht="15" customHeight="1" outlineLevel="1">
      <c r="B42" s="356"/>
      <c r="C42" s="248"/>
      <c r="D42" s="222" t="s">
        <v>40</v>
      </c>
    </row>
    <row r="43" spans="2:4" s="18" customFormat="1" ht="5.0999999999999996" customHeight="1" outlineLevel="1">
      <c r="B43" s="356"/>
      <c r="C43" s="248"/>
      <c r="D43" s="254"/>
    </row>
  </sheetData>
  <sheetProtection selectLockedCells="1" selectUnlockedCells="1"/>
  <mergeCells count="3">
    <mergeCell ref="B6:B17"/>
    <mergeCell ref="B40:B43"/>
    <mergeCell ref="B19:B38"/>
  </mergeCells>
  <hyperlinks>
    <hyperlink ref="D42" r:id="rId1" xr:uid="{46C10659-F380-40EB-B133-ECDC006FAD4F}"/>
  </hyperlinks>
  <pageMargins left="0.7" right="0.7" top="0.75" bottom="0.75" header="0.3" footer="0.3"/>
  <pageSetup scale="32"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sheetPr>
  <dimension ref="B1:Q27"/>
  <sheetViews>
    <sheetView showGridLines="0" zoomScale="70" zoomScaleNormal="70" workbookViewId="0">
      <pane ySplit="1" topLeftCell="A2" activePane="bottomLeft" state="frozen"/>
      <selection pane="bottomLeft" activeCell="A2" sqref="A2"/>
      <selection activeCell="B16" sqref="B16"/>
    </sheetView>
  </sheetViews>
  <sheetFormatPr defaultColWidth="8.85546875" defaultRowHeight="14.45"/>
  <cols>
    <col min="1" max="1" width="9.140625" customWidth="1"/>
    <col min="2" max="2" width="12" customWidth="1"/>
    <col min="3" max="3" width="14.140625" customWidth="1"/>
  </cols>
  <sheetData>
    <row r="1" spans="2:3" ht="99.75" customHeight="1"/>
    <row r="2" spans="2:3" s="101" customFormat="1" ht="24.6">
      <c r="B2" s="24" t="s">
        <v>41</v>
      </c>
    </row>
    <row r="3" spans="2:3" s="101" customFormat="1" ht="13.9"/>
    <row r="4" spans="2:3" s="17" customFormat="1" ht="13.15">
      <c r="B4" s="247"/>
      <c r="C4" s="247"/>
    </row>
    <row r="5" spans="2:3" s="17" customFormat="1" ht="13.15">
      <c r="B5" s="123" t="s">
        <v>42</v>
      </c>
      <c r="C5" s="247"/>
    </row>
    <row r="6" spans="2:3" s="17" customFormat="1" ht="13.15">
      <c r="B6" s="259"/>
      <c r="C6" s="247" t="s">
        <v>43</v>
      </c>
    </row>
    <row r="7" spans="2:3" s="17" customFormat="1" ht="13.15">
      <c r="B7" s="260"/>
      <c r="C7" s="247" t="s">
        <v>44</v>
      </c>
    </row>
    <row r="8" spans="2:3" s="17" customFormat="1" ht="13.15">
      <c r="B8" s="261"/>
      <c r="C8" s="247" t="s">
        <v>45</v>
      </c>
    </row>
    <row r="9" spans="2:3" s="17" customFormat="1" ht="13.15">
      <c r="B9" s="262"/>
      <c r="C9" s="247" t="s">
        <v>46</v>
      </c>
    </row>
    <row r="10" spans="2:3" s="17" customFormat="1" ht="13.15">
      <c r="B10" s="247"/>
      <c r="C10" s="247"/>
    </row>
    <row r="11" spans="2:3" s="17" customFormat="1" ht="13.15">
      <c r="B11" s="123" t="s">
        <v>47</v>
      </c>
      <c r="C11" s="247"/>
    </row>
    <row r="12" spans="2:3" s="17" customFormat="1" ht="13.15">
      <c r="B12" s="247" t="s">
        <v>48</v>
      </c>
      <c r="C12" s="247"/>
    </row>
    <row r="13" spans="2:3" s="17" customFormat="1" ht="13.15">
      <c r="B13" s="247" t="s">
        <v>49</v>
      </c>
      <c r="C13" s="247"/>
    </row>
    <row r="14" spans="2:3" s="17" customFormat="1" ht="13.15">
      <c r="B14" s="247"/>
      <c r="C14" s="247"/>
    </row>
    <row r="15" spans="2:3" s="17" customFormat="1" ht="13.15">
      <c r="B15" s="123" t="s">
        <v>50</v>
      </c>
      <c r="C15" s="247"/>
    </row>
    <row r="16" spans="2:3" s="17" customFormat="1" ht="13.15">
      <c r="B16" s="45" t="s">
        <v>51</v>
      </c>
      <c r="C16" s="247"/>
    </row>
    <row r="17" spans="2:17" s="17" customFormat="1" ht="13.15">
      <c r="B17" s="45" t="s">
        <v>52</v>
      </c>
      <c r="C17" s="247"/>
      <c r="D17" s="247"/>
      <c r="E17" s="247"/>
      <c r="F17" s="247"/>
      <c r="G17" s="247"/>
      <c r="H17" s="247"/>
      <c r="I17" s="247"/>
      <c r="J17" s="247"/>
      <c r="K17" s="247"/>
      <c r="L17" s="247"/>
      <c r="M17" s="247"/>
      <c r="N17" s="247"/>
      <c r="O17" s="247"/>
      <c r="P17" s="247"/>
      <c r="Q17" s="247"/>
    </row>
    <row r="18" spans="2:17" s="17" customFormat="1" ht="13.15">
      <c r="B18" s="45" t="s">
        <v>53</v>
      </c>
      <c r="C18" s="247"/>
      <c r="D18" s="247"/>
      <c r="E18" s="247"/>
      <c r="F18" s="247"/>
      <c r="G18" s="247"/>
      <c r="H18" s="247"/>
      <c r="I18" s="247"/>
      <c r="J18" s="247"/>
      <c r="K18" s="247"/>
      <c r="L18" s="247"/>
      <c r="M18" s="247"/>
      <c r="N18" s="247"/>
      <c r="O18" s="247"/>
      <c r="P18" s="247"/>
      <c r="Q18" s="247"/>
    </row>
    <row r="19" spans="2:17" s="17" customFormat="1" ht="13.15">
      <c r="B19" s="247"/>
      <c r="C19" s="247"/>
      <c r="D19" s="247"/>
      <c r="E19" s="247"/>
      <c r="F19" s="247"/>
      <c r="G19" s="247"/>
      <c r="H19" s="247"/>
      <c r="I19" s="247"/>
      <c r="J19" s="247"/>
      <c r="K19" s="247"/>
      <c r="L19" s="247"/>
      <c r="M19" s="247"/>
      <c r="N19" s="247"/>
      <c r="O19" s="247"/>
      <c r="P19" s="247"/>
      <c r="Q19" s="247"/>
    </row>
    <row r="20" spans="2:17" s="17" customFormat="1" ht="15.95" customHeight="1">
      <c r="B20" s="247"/>
      <c r="C20" s="247"/>
      <c r="D20" s="247"/>
      <c r="E20" s="247"/>
      <c r="F20" s="247"/>
      <c r="G20" s="247"/>
      <c r="H20" s="247"/>
      <c r="I20" s="247"/>
      <c r="J20" s="247"/>
      <c r="K20" s="247"/>
      <c r="L20" s="247"/>
      <c r="M20" s="247"/>
      <c r="N20" s="247"/>
      <c r="O20" s="247"/>
      <c r="P20" s="247"/>
      <c r="Q20" s="247"/>
    </row>
    <row r="21" spans="2:17" s="17" customFormat="1" ht="19.5" customHeight="1">
      <c r="B21" s="239" t="s">
        <v>54</v>
      </c>
      <c r="C21" s="239" t="s">
        <v>55</v>
      </c>
      <c r="D21" s="361" t="s">
        <v>56</v>
      </c>
      <c r="E21" s="361"/>
      <c r="F21" s="361"/>
      <c r="G21" s="361"/>
      <c r="H21" s="361"/>
      <c r="I21" s="361"/>
      <c r="J21" s="361"/>
      <c r="K21" s="361"/>
      <c r="L21" s="361"/>
      <c r="M21" s="361"/>
      <c r="N21" s="361"/>
      <c r="O21" s="361"/>
      <c r="P21" s="361"/>
      <c r="Q21" s="361"/>
    </row>
    <row r="22" spans="2:17" s="17" customFormat="1" ht="19.5" customHeight="1">
      <c r="B22" s="239" t="s">
        <v>57</v>
      </c>
      <c r="C22" s="240">
        <v>44480</v>
      </c>
      <c r="D22" s="358" t="s">
        <v>58</v>
      </c>
      <c r="E22" s="359"/>
      <c r="F22" s="359"/>
      <c r="G22" s="359"/>
      <c r="H22" s="359"/>
      <c r="I22" s="359"/>
      <c r="J22" s="359"/>
      <c r="K22" s="359"/>
      <c r="L22" s="359"/>
      <c r="M22" s="359"/>
      <c r="N22" s="359"/>
      <c r="O22" s="359"/>
      <c r="P22" s="359"/>
      <c r="Q22" s="360"/>
    </row>
    <row r="23" spans="2:17" s="17" customFormat="1" ht="30" customHeight="1">
      <c r="B23" s="239" t="s">
        <v>59</v>
      </c>
      <c r="C23" s="240">
        <v>44683</v>
      </c>
      <c r="D23" s="362" t="s">
        <v>60</v>
      </c>
      <c r="E23" s="362"/>
      <c r="F23" s="362"/>
      <c r="G23" s="362"/>
      <c r="H23" s="362"/>
      <c r="I23" s="362"/>
      <c r="J23" s="362"/>
      <c r="K23" s="362"/>
      <c r="L23" s="362"/>
      <c r="M23" s="362"/>
      <c r="N23" s="362"/>
      <c r="O23" s="362"/>
      <c r="P23" s="362"/>
      <c r="Q23" s="362"/>
    </row>
    <row r="24" spans="2:17" ht="39.75" customHeight="1">
      <c r="B24" s="239" t="s">
        <v>61</v>
      </c>
      <c r="C24" s="240">
        <v>45027</v>
      </c>
      <c r="D24" s="363" t="s">
        <v>62</v>
      </c>
      <c r="E24" s="362"/>
      <c r="F24" s="362"/>
      <c r="G24" s="362"/>
      <c r="H24" s="362"/>
      <c r="I24" s="362"/>
      <c r="J24" s="362"/>
      <c r="K24" s="362"/>
      <c r="L24" s="362"/>
      <c r="M24" s="362"/>
      <c r="N24" s="362"/>
      <c r="O24" s="362"/>
      <c r="P24" s="362"/>
      <c r="Q24" s="362"/>
    </row>
    <row r="25" spans="2:17">
      <c r="B25" s="239" t="s">
        <v>63</v>
      </c>
      <c r="C25" s="240">
        <v>45049</v>
      </c>
      <c r="D25" s="362" t="s">
        <v>64</v>
      </c>
      <c r="E25" s="362"/>
      <c r="F25" s="362"/>
      <c r="G25" s="362"/>
      <c r="H25" s="362"/>
      <c r="I25" s="362"/>
      <c r="J25" s="362"/>
      <c r="K25" s="362"/>
      <c r="L25" s="362"/>
      <c r="M25" s="362"/>
      <c r="N25" s="362"/>
      <c r="O25" s="362"/>
      <c r="P25" s="362"/>
      <c r="Q25" s="362"/>
    </row>
    <row r="26" spans="2:17" ht="19.5" customHeight="1">
      <c r="B26" s="263"/>
      <c r="C26" s="264"/>
      <c r="D26" s="237"/>
      <c r="E26" s="237"/>
      <c r="F26" s="237"/>
      <c r="G26" s="237"/>
      <c r="H26" s="237"/>
      <c r="I26" s="237"/>
      <c r="J26" s="237"/>
      <c r="K26" s="237"/>
      <c r="L26" s="237"/>
      <c r="M26" s="237"/>
      <c r="N26" s="237"/>
      <c r="O26" s="237"/>
      <c r="P26" s="237"/>
      <c r="Q26" s="237"/>
    </row>
    <row r="27" spans="2:17">
      <c r="E27" s="237"/>
      <c r="F27" s="237"/>
      <c r="G27" s="237"/>
      <c r="H27" s="237"/>
      <c r="I27" s="237"/>
      <c r="J27" s="237"/>
      <c r="K27" s="237"/>
      <c r="L27" s="237"/>
      <c r="M27" s="237"/>
      <c r="N27" s="237"/>
      <c r="O27" s="237"/>
      <c r="P27" s="237"/>
      <c r="Q27" s="237"/>
    </row>
  </sheetData>
  <sheetProtection selectLockedCells="1" selectUnlockedCells="1"/>
  <mergeCells count="5">
    <mergeCell ref="D22:Q22"/>
    <mergeCell ref="D21:Q21"/>
    <mergeCell ref="D25:Q25"/>
    <mergeCell ref="D24:Q24"/>
    <mergeCell ref="D23:Q23"/>
  </mergeCells>
  <pageMargins left="0.7" right="0.7" top="0.75" bottom="0.75" header="0.3" footer="0.3"/>
  <pageSetup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sheetPr>
  <dimension ref="A1:P51"/>
  <sheetViews>
    <sheetView showGridLines="0" zoomScale="70" zoomScaleNormal="70" workbookViewId="0">
      <pane ySplit="1" topLeftCell="A2" activePane="bottomLeft" state="frozen"/>
      <selection pane="bottomLeft" activeCell="A2" sqref="A2"/>
      <selection activeCell="B16" sqref="B16"/>
    </sheetView>
  </sheetViews>
  <sheetFormatPr defaultColWidth="0" defaultRowHeight="14.45" zeroHeight="1"/>
  <cols>
    <col min="1" max="1" width="9.140625" customWidth="1"/>
    <col min="2" max="2" width="15" customWidth="1"/>
    <col min="3" max="3" width="46.85546875" bestFit="1" customWidth="1"/>
    <col min="4" max="6" width="34" customWidth="1"/>
    <col min="7" max="7" width="9.140625" customWidth="1"/>
    <col min="8" max="16" width="0" hidden="1" customWidth="1"/>
    <col min="17" max="16384" width="9.140625" hidden="1"/>
  </cols>
  <sheetData>
    <row r="1" spans="2:3" ht="99.75" customHeight="1"/>
    <row r="2" spans="2:3" s="17" customFormat="1" ht="37.5" customHeight="1">
      <c r="B2" s="24" t="s">
        <v>65</v>
      </c>
      <c r="C2" s="247"/>
    </row>
    <row r="3" spans="2:3" s="17" customFormat="1" ht="13.15">
      <c r="B3" s="247"/>
      <c r="C3" s="247"/>
    </row>
    <row r="4" spans="2:3" s="17" customFormat="1" ht="13.15">
      <c r="B4" s="70" t="s">
        <v>66</v>
      </c>
      <c r="C4" s="70" t="s">
        <v>67</v>
      </c>
    </row>
    <row r="5" spans="2:3" s="17" customFormat="1" ht="13.15">
      <c r="B5" s="247" t="s">
        <v>68</v>
      </c>
      <c r="C5" s="247" t="s">
        <v>69</v>
      </c>
    </row>
    <row r="6" spans="2:3" s="17" customFormat="1" ht="13.15">
      <c r="B6" s="247" t="s">
        <v>70</v>
      </c>
      <c r="C6" s="247" t="s">
        <v>71</v>
      </c>
    </row>
    <row r="7" spans="2:3" s="17" customFormat="1" ht="13.15">
      <c r="B7" s="247" t="s">
        <v>72</v>
      </c>
      <c r="C7" s="247" t="s">
        <v>73</v>
      </c>
    </row>
    <row r="8" spans="2:3" s="17" customFormat="1" ht="13.15">
      <c r="B8" s="247" t="s">
        <v>74</v>
      </c>
      <c r="C8" s="247" t="s">
        <v>75</v>
      </c>
    </row>
    <row r="9" spans="2:3" s="17" customFormat="1" ht="13.15">
      <c r="B9" s="247" t="s">
        <v>76</v>
      </c>
      <c r="C9" s="247" t="s">
        <v>77</v>
      </c>
    </row>
    <row r="10" spans="2:3" s="17" customFormat="1" ht="13.15">
      <c r="B10" s="247" t="s">
        <v>78</v>
      </c>
      <c r="C10" s="247" t="s">
        <v>79</v>
      </c>
    </row>
    <row r="11" spans="2:3" s="17" customFormat="1" ht="13.15">
      <c r="B11" s="247" t="s">
        <v>80</v>
      </c>
      <c r="C11" s="247" t="s">
        <v>81</v>
      </c>
    </row>
    <row r="12" spans="2:3" s="17" customFormat="1" ht="15.6">
      <c r="B12" s="247" t="s">
        <v>82</v>
      </c>
      <c r="C12" s="247" t="s">
        <v>83</v>
      </c>
    </row>
    <row r="13" spans="2:3" s="17" customFormat="1" ht="13.15">
      <c r="B13" s="247" t="s">
        <v>84</v>
      </c>
      <c r="C13" s="247" t="s">
        <v>85</v>
      </c>
    </row>
    <row r="14" spans="2:3" s="17" customFormat="1" ht="13.15">
      <c r="B14" s="247" t="s">
        <v>86</v>
      </c>
      <c r="C14" s="247" t="s">
        <v>87</v>
      </c>
    </row>
    <row r="15" spans="2:3" s="17" customFormat="1" ht="13.15">
      <c r="B15" s="247" t="s">
        <v>88</v>
      </c>
      <c r="C15" s="247" t="s">
        <v>89</v>
      </c>
    </row>
    <row r="16" spans="2:3" s="17" customFormat="1" ht="13.15">
      <c r="B16" s="247" t="s">
        <v>90</v>
      </c>
      <c r="C16" s="247" t="s">
        <v>91</v>
      </c>
    </row>
    <row r="17" spans="2:3" s="17" customFormat="1" ht="15.6">
      <c r="B17" s="247" t="s">
        <v>92</v>
      </c>
      <c r="C17" s="247" t="s">
        <v>93</v>
      </c>
    </row>
    <row r="18" spans="2:3" s="17" customFormat="1" ht="15.6">
      <c r="B18" s="247" t="s">
        <v>94</v>
      </c>
      <c r="C18" s="247" t="s">
        <v>95</v>
      </c>
    </row>
    <row r="19" spans="2:3" s="17" customFormat="1" ht="13.15">
      <c r="B19" s="247" t="s">
        <v>96</v>
      </c>
      <c r="C19" s="247" t="s">
        <v>97</v>
      </c>
    </row>
    <row r="20" spans="2:3" s="17" customFormat="1" ht="13.15">
      <c r="B20" s="247" t="s">
        <v>98</v>
      </c>
      <c r="C20" s="247" t="s">
        <v>99</v>
      </c>
    </row>
    <row r="21" spans="2:3" s="17" customFormat="1" ht="13.15">
      <c r="B21" s="247" t="s">
        <v>100</v>
      </c>
      <c r="C21" s="247" t="s">
        <v>101</v>
      </c>
    </row>
    <row r="22" spans="2:3" s="17" customFormat="1" ht="13.15">
      <c r="B22" s="247" t="s">
        <v>102</v>
      </c>
      <c r="C22" s="247" t="s">
        <v>103</v>
      </c>
    </row>
    <row r="23" spans="2:3" s="17" customFormat="1" ht="13.15">
      <c r="B23" s="247" t="s">
        <v>104</v>
      </c>
      <c r="C23" s="247" t="s">
        <v>105</v>
      </c>
    </row>
    <row r="24" spans="2:3" s="17" customFormat="1" ht="13.15">
      <c r="B24" s="247" t="s">
        <v>106</v>
      </c>
      <c r="C24" s="247" t="s">
        <v>107</v>
      </c>
    </row>
    <row r="25" spans="2:3" s="17" customFormat="1" ht="13.15">
      <c r="B25" s="247" t="s">
        <v>108</v>
      </c>
      <c r="C25" s="247" t="s">
        <v>109</v>
      </c>
    </row>
    <row r="26" spans="2:3" s="17" customFormat="1" ht="13.15">
      <c r="B26" s="247" t="s">
        <v>110</v>
      </c>
      <c r="C26" s="247" t="s">
        <v>111</v>
      </c>
    </row>
    <row r="27" spans="2:3" s="17" customFormat="1" ht="13.15">
      <c r="B27" s="247" t="s">
        <v>112</v>
      </c>
      <c r="C27" s="247" t="s">
        <v>113</v>
      </c>
    </row>
    <row r="28" spans="2:3" s="17" customFormat="1" ht="13.15">
      <c r="B28" s="247" t="s">
        <v>114</v>
      </c>
      <c r="C28" s="247" t="s">
        <v>115</v>
      </c>
    </row>
    <row r="29" spans="2:3" s="17" customFormat="1" ht="13.15">
      <c r="B29" s="247" t="s">
        <v>116</v>
      </c>
      <c r="C29" s="247" t="s">
        <v>117</v>
      </c>
    </row>
    <row r="30" spans="2:3" s="17" customFormat="1" ht="15.6">
      <c r="B30" s="247" t="s">
        <v>118</v>
      </c>
      <c r="C30" s="247" t="s">
        <v>119</v>
      </c>
    </row>
    <row r="31" spans="2:3" s="17" customFormat="1" ht="13.15">
      <c r="B31" s="247" t="s">
        <v>120</v>
      </c>
      <c r="C31" s="247" t="s">
        <v>121</v>
      </c>
    </row>
    <row r="32" spans="2:3" s="17" customFormat="1" ht="13.15">
      <c r="B32" s="247" t="s">
        <v>122</v>
      </c>
      <c r="C32" s="247" t="s">
        <v>123</v>
      </c>
    </row>
    <row r="33" spans="2:3" s="17" customFormat="1" ht="13.15">
      <c r="B33" s="247" t="s">
        <v>124</v>
      </c>
      <c r="C33" s="247" t="s">
        <v>125</v>
      </c>
    </row>
    <row r="34" spans="2:3" s="17" customFormat="1" ht="13.15">
      <c r="B34" s="247" t="s">
        <v>126</v>
      </c>
      <c r="C34" s="247" t="s">
        <v>127</v>
      </c>
    </row>
    <row r="35" spans="2:3" s="17" customFormat="1" ht="13.15">
      <c r="B35" s="247" t="s">
        <v>128</v>
      </c>
      <c r="C35" s="247" t="s">
        <v>129</v>
      </c>
    </row>
    <row r="36" spans="2:3" s="17" customFormat="1" ht="13.15">
      <c r="B36" s="247" t="s">
        <v>130</v>
      </c>
      <c r="C36" s="247" t="s">
        <v>131</v>
      </c>
    </row>
    <row r="37" spans="2:3" s="17" customFormat="1" ht="13.15">
      <c r="B37" s="247" t="s">
        <v>132</v>
      </c>
      <c r="C37" s="247" t="s">
        <v>133</v>
      </c>
    </row>
    <row r="38" spans="2:3" s="17" customFormat="1" ht="13.15">
      <c r="B38" s="247" t="s">
        <v>134</v>
      </c>
      <c r="C38" s="247" t="s">
        <v>135</v>
      </c>
    </row>
    <row r="39" spans="2:3" s="17" customFormat="1" ht="13.15">
      <c r="B39" s="247" t="s">
        <v>136</v>
      </c>
      <c r="C39" s="247" t="s">
        <v>137</v>
      </c>
    </row>
    <row r="40" spans="2:3" s="17" customFormat="1" ht="13.15">
      <c r="B40" s="247" t="s">
        <v>138</v>
      </c>
      <c r="C40" s="247" t="s">
        <v>139</v>
      </c>
    </row>
    <row r="41" spans="2:3" s="17" customFormat="1" ht="15.6">
      <c r="B41" s="247" t="s">
        <v>140</v>
      </c>
      <c r="C41" s="247" t="s">
        <v>141</v>
      </c>
    </row>
    <row r="42" spans="2:3" s="17" customFormat="1" ht="13.15">
      <c r="B42" s="247" t="s">
        <v>142</v>
      </c>
      <c r="C42" s="247" t="s">
        <v>143</v>
      </c>
    </row>
    <row r="43" spans="2:3" s="17" customFormat="1" ht="13.15">
      <c r="B43" s="247" t="s">
        <v>144</v>
      </c>
      <c r="C43" s="247" t="s">
        <v>145</v>
      </c>
    </row>
    <row r="44" spans="2:3" s="17" customFormat="1" ht="13.15">
      <c r="B44" s="247" t="s">
        <v>146</v>
      </c>
      <c r="C44" s="247" t="s">
        <v>147</v>
      </c>
    </row>
    <row r="45" spans="2:3" s="17" customFormat="1" ht="13.15">
      <c r="B45" s="247"/>
      <c r="C45" s="247"/>
    </row>
    <row r="46" spans="2:3" s="17" customFormat="1" ht="13.15">
      <c r="B46" s="247"/>
      <c r="C46" s="247"/>
    </row>
    <row r="47" spans="2:3" s="17" customFormat="1" ht="13.15">
      <c r="B47" s="247"/>
      <c r="C47" s="247"/>
    </row>
    <row r="48" spans="2:3" s="17" customFormat="1" ht="13.15">
      <c r="B48" s="247"/>
      <c r="C48" s="247"/>
    </row>
    <row r="49" spans="2:3" s="17" customFormat="1" ht="13.15">
      <c r="B49" s="247"/>
      <c r="C49" s="247"/>
    </row>
    <row r="50" spans="2:3" s="17" customFormat="1" ht="13.15">
      <c r="B50" s="247"/>
      <c r="C50" s="247"/>
    </row>
    <row r="51" spans="2:3"/>
  </sheetData>
  <sheetProtection selectLockedCells="1" selectUnlockedCells="1"/>
  <pageMargins left="0.7" right="0.7" top="0.75" bottom="0.75" header="0.3" footer="0.3"/>
  <pageSetup scale="50" orientation="landscape"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X46"/>
  <sheetViews>
    <sheetView showGridLines="0" zoomScale="70" zoomScaleNormal="70" workbookViewId="0">
      <pane ySplit="1" topLeftCell="A2" activePane="bottomLeft" state="frozen"/>
      <selection pane="bottomLeft" activeCell="A2" sqref="A2"/>
      <selection activeCell="B16" sqref="B16"/>
    </sheetView>
  </sheetViews>
  <sheetFormatPr defaultColWidth="0" defaultRowHeight="13.15" zeroHeight="1"/>
  <cols>
    <col min="1" max="1" width="8.42578125" style="17" customWidth="1"/>
    <col min="2" max="2" width="53.85546875" style="17" customWidth="1"/>
    <col min="3" max="3" width="12.140625" style="17" customWidth="1"/>
    <col min="4" max="4" width="16.140625" style="17" customWidth="1"/>
    <col min="5" max="5" width="70.85546875" style="17" hidden="1" customWidth="1"/>
    <col min="6" max="6" width="108.42578125" style="17" hidden="1" customWidth="1"/>
    <col min="7" max="7" width="5.85546875" style="17" customWidth="1"/>
    <col min="8" max="8" width="29.140625" style="17" customWidth="1"/>
    <col min="9" max="11" width="16.42578125" style="17" customWidth="1"/>
    <col min="12" max="20" width="9.140625" style="17" customWidth="1"/>
    <col min="21" max="24" width="0" style="17" hidden="1" customWidth="1"/>
    <col min="25" max="16384" width="9.140625" style="17" hidden="1"/>
  </cols>
  <sheetData>
    <row r="1" spans="1:20" ht="99.75" customHeight="1">
      <c r="A1" s="247"/>
      <c r="B1" s="247"/>
      <c r="C1" s="247"/>
      <c r="D1" s="247"/>
      <c r="E1" s="247"/>
      <c r="F1" s="247"/>
      <c r="G1" s="247"/>
      <c r="H1" s="247"/>
      <c r="I1" s="247"/>
      <c r="J1" s="247"/>
      <c r="K1" s="247"/>
      <c r="L1" s="247"/>
      <c r="M1" s="247"/>
      <c r="N1" s="247"/>
      <c r="O1" s="247"/>
      <c r="P1" s="247"/>
      <c r="Q1" s="247"/>
      <c r="R1" s="247"/>
      <c r="S1" s="86">
        <v>1</v>
      </c>
      <c r="T1" s="87"/>
    </row>
    <row r="2" spans="1:20" ht="13.9" thickBot="1">
      <c r="A2" s="35"/>
      <c r="B2" s="35"/>
      <c r="C2" s="35"/>
      <c r="D2" s="35"/>
      <c r="E2" s="35"/>
      <c r="F2" s="35"/>
      <c r="G2" s="35"/>
      <c r="H2" s="35"/>
      <c r="I2" s="35"/>
      <c r="J2" s="35"/>
      <c r="K2" s="35"/>
      <c r="L2" s="35"/>
      <c r="M2" s="35"/>
      <c r="N2" s="35"/>
      <c r="O2" s="35"/>
      <c r="P2" s="35"/>
      <c r="Q2" s="35"/>
      <c r="R2" s="35"/>
      <c r="S2" s="86" t="b">
        <v>1</v>
      </c>
      <c r="T2" s="87"/>
    </row>
    <row r="3" spans="1:20" ht="27" customHeight="1" thickBot="1">
      <c r="A3" s="247"/>
      <c r="B3" s="265" t="s">
        <v>148</v>
      </c>
      <c r="C3" s="247"/>
      <c r="D3" s="247"/>
      <c r="E3" s="247"/>
      <c r="F3" s="247"/>
      <c r="G3" s="247"/>
      <c r="H3" s="121" t="str">
        <f>H20&amp;":  "</f>
        <v xml:space="preserve">PCI, HHV Basis:  </v>
      </c>
      <c r="I3" s="122" t="str">
        <f>FIXED(K20,1)&amp;" gCO2e/MJ"</f>
        <v>70.9 gCO2e/MJ</v>
      </c>
      <c r="J3" s="266"/>
      <c r="K3" s="88" t="s">
        <v>149</v>
      </c>
      <c r="L3" s="267"/>
      <c r="M3" s="89" t="s">
        <v>150</v>
      </c>
      <c r="N3" s="267"/>
      <c r="O3" s="268"/>
      <c r="P3" s="247"/>
      <c r="Q3" s="247"/>
      <c r="R3" s="247"/>
      <c r="S3" s="87"/>
      <c r="T3" s="87"/>
    </row>
    <row r="4" spans="1:20" s="191" customFormat="1" ht="15.6">
      <c r="A4" s="247"/>
      <c r="B4" s="207" t="s">
        <v>151</v>
      </c>
      <c r="C4" s="247"/>
      <c r="D4" s="247"/>
      <c r="E4" s="247"/>
      <c r="F4" s="247"/>
      <c r="G4" s="247"/>
      <c r="H4" s="205"/>
      <c r="I4" s="206"/>
      <c r="J4" s="269"/>
      <c r="K4" s="204"/>
      <c r="L4" s="270"/>
      <c r="M4" s="203"/>
      <c r="N4" s="270"/>
      <c r="O4" s="270"/>
      <c r="P4" s="247"/>
      <c r="Q4" s="247"/>
      <c r="R4" s="247"/>
      <c r="S4" s="87"/>
      <c r="T4" s="87"/>
    </row>
    <row r="5" spans="1:20" s="191" customFormat="1" ht="15.6">
      <c r="A5" s="247"/>
      <c r="B5" s="207" t="s">
        <v>152</v>
      </c>
      <c r="C5" s="247"/>
      <c r="D5" s="247"/>
      <c r="E5" s="247"/>
      <c r="F5" s="247"/>
      <c r="G5" s="247"/>
      <c r="H5" s="205"/>
      <c r="I5" s="206"/>
      <c r="J5" s="269"/>
      <c r="K5" s="204"/>
      <c r="L5" s="270"/>
      <c r="M5" s="203"/>
      <c r="N5" s="270"/>
      <c r="O5" s="270"/>
      <c r="P5" s="247"/>
      <c r="Q5" s="247"/>
      <c r="R5" s="247"/>
      <c r="S5" s="87"/>
      <c r="T5" s="87"/>
    </row>
    <row r="6" spans="1:20" s="191" customFormat="1" ht="15.6">
      <c r="A6" s="247"/>
      <c r="B6" s="265"/>
      <c r="C6" s="247"/>
      <c r="D6" s="247"/>
      <c r="E6" s="247"/>
      <c r="F6" s="247"/>
      <c r="G6" s="247"/>
      <c r="H6" s="205"/>
      <c r="I6" s="206"/>
      <c r="J6" s="269"/>
      <c r="K6" s="204"/>
      <c r="L6" s="270"/>
      <c r="M6" s="203"/>
      <c r="N6" s="270"/>
      <c r="O6" s="270"/>
      <c r="P6" s="247"/>
      <c r="Q6" s="247"/>
      <c r="R6" s="247"/>
      <c r="S6" s="87"/>
      <c r="T6" s="87"/>
    </row>
    <row r="7" spans="1:20" ht="33.75" customHeight="1">
      <c r="A7" s="247"/>
      <c r="B7" s="90" t="s">
        <v>153</v>
      </c>
      <c r="C7" s="91" t="s">
        <v>154</v>
      </c>
      <c r="D7" s="92" t="s">
        <v>155</v>
      </c>
      <c r="E7" s="70" t="s">
        <v>156</v>
      </c>
      <c r="F7" s="247"/>
      <c r="G7" s="247"/>
      <c r="H7" s="365" t="str">
        <f>IF($S$1=1,"PCI Calculations Summary Table (Higher Heating Value Basis)*","Sensivity Calculation (Lower Heating Value Basis)*")</f>
        <v>PCI Calculations Summary Table (Higher Heating Value Basis)*</v>
      </c>
      <c r="I7" s="365"/>
      <c r="J7" s="365"/>
      <c r="K7" s="365"/>
      <c r="L7" s="247"/>
      <c r="M7" s="247"/>
      <c r="N7" s="247"/>
      <c r="O7" s="247"/>
      <c r="P7" s="247"/>
      <c r="Q7" s="247"/>
      <c r="R7" s="247"/>
      <c r="S7" s="247"/>
      <c r="T7" s="247"/>
    </row>
    <row r="8" spans="1:20" ht="21" customHeight="1">
      <c r="A8" s="247"/>
      <c r="B8" s="93" t="s">
        <v>157</v>
      </c>
      <c r="C8" s="93"/>
      <c r="D8" s="94"/>
      <c r="E8" s="70"/>
      <c r="F8" s="247"/>
      <c r="G8" s="247"/>
      <c r="H8" s="364" t="str">
        <f>IF(S2=TRUE,"Chevron Default Factors used in calculation","Custom Factors used in calculation")</f>
        <v>Chevron Default Factors used in calculation</v>
      </c>
      <c r="I8" s="364"/>
      <c r="J8" s="364"/>
      <c r="K8" s="364"/>
      <c r="L8" s="247"/>
      <c r="M8" s="247"/>
      <c r="N8" s="247"/>
      <c r="O8" s="247"/>
      <c r="P8" s="247"/>
      <c r="Q8" s="247"/>
      <c r="R8" s="247"/>
      <c r="S8" s="247"/>
      <c r="T8" s="247"/>
    </row>
    <row r="9" spans="1:20" ht="17.25" customHeight="1">
      <c r="A9" s="247"/>
      <c r="B9" s="95" t="s">
        <v>158</v>
      </c>
      <c r="C9" s="202">
        <f>1440+279</f>
        <v>1719</v>
      </c>
      <c r="D9" s="272" t="s">
        <v>159</v>
      </c>
      <c r="E9" s="273" t="s">
        <v>160</v>
      </c>
      <c r="F9" s="274" t="s">
        <v>161</v>
      </c>
      <c r="G9" s="247"/>
      <c r="H9" s="370" t="s">
        <v>162</v>
      </c>
      <c r="I9" s="370" t="s">
        <v>163</v>
      </c>
      <c r="J9" s="370" t="s">
        <v>164</v>
      </c>
      <c r="K9" s="370" t="s">
        <v>165</v>
      </c>
      <c r="L9" s="247"/>
      <c r="M9" s="247"/>
      <c r="N9" s="247"/>
      <c r="O9" s="247"/>
      <c r="P9" s="247"/>
      <c r="Q9" s="247"/>
      <c r="R9" s="247"/>
      <c r="S9" s="247"/>
      <c r="T9" s="247"/>
    </row>
    <row r="10" spans="1:20" ht="17.25" customHeight="1">
      <c r="A10" s="247"/>
      <c r="B10" s="275" t="s">
        <v>166</v>
      </c>
      <c r="C10" s="202">
        <v>7677</v>
      </c>
      <c r="D10" s="272" t="s">
        <v>167</v>
      </c>
      <c r="E10" s="276" t="s">
        <v>168</v>
      </c>
      <c r="F10" s="274" t="s">
        <v>169</v>
      </c>
      <c r="G10" s="247"/>
      <c r="H10" s="370"/>
      <c r="I10" s="370"/>
      <c r="J10" s="370"/>
      <c r="K10" s="370"/>
      <c r="L10" s="247"/>
      <c r="M10" s="247"/>
      <c r="N10" s="247"/>
      <c r="O10" s="247"/>
      <c r="P10" s="247"/>
      <c r="Q10" s="247"/>
      <c r="R10" s="247"/>
      <c r="S10" s="247"/>
      <c r="T10" s="247"/>
    </row>
    <row r="11" spans="1:20" ht="17.25" customHeight="1">
      <c r="A11" s="247"/>
      <c r="B11" s="275" t="s">
        <v>170</v>
      </c>
      <c r="C11" s="202">
        <v>570</v>
      </c>
      <c r="D11" s="272" t="s">
        <v>167</v>
      </c>
      <c r="E11" s="276" t="s">
        <v>171</v>
      </c>
      <c r="F11" s="274" t="s">
        <v>169</v>
      </c>
      <c r="G11" s="247"/>
      <c r="H11" s="370"/>
      <c r="I11" s="370"/>
      <c r="J11" s="370"/>
      <c r="K11" s="370"/>
      <c r="L11" s="247"/>
      <c r="M11" s="247"/>
      <c r="N11" s="247"/>
      <c r="O11" s="247"/>
      <c r="P11" s="247"/>
      <c r="Q11" s="247"/>
      <c r="R11" s="247"/>
      <c r="S11" s="247"/>
      <c r="T11" s="247"/>
    </row>
    <row r="12" spans="1:20" ht="17.25" customHeight="1">
      <c r="A12" s="247"/>
      <c r="B12" s="275" t="s">
        <v>172</v>
      </c>
      <c r="C12" s="202">
        <v>27.5</v>
      </c>
      <c r="D12" s="272" t="s">
        <v>173</v>
      </c>
      <c r="E12" s="277" t="s">
        <v>174</v>
      </c>
      <c r="F12" s="274" t="s">
        <v>175</v>
      </c>
      <c r="G12" s="247"/>
      <c r="H12" s="372"/>
      <c r="I12" s="372"/>
      <c r="J12" s="372"/>
      <c r="K12" s="372"/>
      <c r="L12" s="247"/>
      <c r="M12" s="247"/>
      <c r="N12" s="247"/>
      <c r="O12" s="247"/>
      <c r="P12" s="247"/>
      <c r="Q12" s="247"/>
      <c r="R12" s="247"/>
      <c r="S12" s="247"/>
      <c r="T12" s="247"/>
    </row>
    <row r="13" spans="1:20" ht="17.25" customHeight="1">
      <c r="A13" s="247"/>
      <c r="B13" s="275" t="s">
        <v>176</v>
      </c>
      <c r="C13" s="202">
        <v>25.2</v>
      </c>
      <c r="D13" s="272" t="s">
        <v>173</v>
      </c>
      <c r="E13" s="277" t="s">
        <v>174</v>
      </c>
      <c r="F13" s="274" t="s">
        <v>175</v>
      </c>
      <c r="G13" s="247"/>
      <c r="H13" s="278" t="s">
        <v>177</v>
      </c>
      <c r="I13" s="126">
        <f>IF($S$1=1,'Oil and Refined Products'!$C$6,'Oil and Refined Products'!$E$108/1000000)</f>
        <v>5.4342790393256566</v>
      </c>
      <c r="J13" s="127">
        <f>'Oil and Refined Products'!$C$7</f>
        <v>445.50301598344089</v>
      </c>
      <c r="K13" s="279">
        <f>IF(I13&gt;0,J13/I13,0)</f>
        <v>81.980150956459468</v>
      </c>
      <c r="L13" s="247"/>
      <c r="M13" s="247"/>
      <c r="N13" s="247"/>
      <c r="O13" s="247"/>
      <c r="P13" s="247"/>
      <c r="Q13" s="247"/>
      <c r="R13" s="247"/>
      <c r="S13" s="247"/>
      <c r="T13" s="247"/>
    </row>
    <row r="14" spans="1:20" ht="17.25" customHeight="1">
      <c r="A14" s="247"/>
      <c r="B14" s="93" t="s">
        <v>178</v>
      </c>
      <c r="C14" s="201"/>
      <c r="D14" s="94"/>
      <c r="E14" s="273"/>
      <c r="F14" s="274"/>
      <c r="G14" s="247"/>
      <c r="H14" s="278" t="s">
        <v>179</v>
      </c>
      <c r="I14" s="126">
        <f>IF($S$1=1,'Gas and LNG'!$C$6,'Gas and LNG'!$G$38/1000000)</f>
        <v>4.0679606348060862</v>
      </c>
      <c r="J14" s="127">
        <f>'Gas and LNG'!$C$7</f>
        <v>243.09874839752598</v>
      </c>
      <c r="K14" s="279">
        <f t="shared" ref="K14:K20" si="0">IF(I14&gt;0,J14/I14,0)</f>
        <v>59.759365987354045</v>
      </c>
      <c r="L14" s="247"/>
      <c r="M14" s="247"/>
      <c r="N14" s="247"/>
      <c r="O14" s="247"/>
      <c r="P14" s="247"/>
      <c r="Q14" s="247"/>
      <c r="R14" s="247"/>
      <c r="S14" s="247"/>
      <c r="T14" s="247"/>
    </row>
    <row r="15" spans="1:20" ht="17.25" customHeight="1">
      <c r="A15" s="247"/>
      <c r="B15" s="275" t="s">
        <v>180</v>
      </c>
      <c r="C15" s="202">
        <v>1504</v>
      </c>
      <c r="D15" s="272" t="s">
        <v>159</v>
      </c>
      <c r="E15" s="273" t="s">
        <v>181</v>
      </c>
      <c r="F15" s="274" t="s">
        <v>182</v>
      </c>
      <c r="G15" s="247"/>
      <c r="H15" s="278" t="s">
        <v>183</v>
      </c>
      <c r="I15" s="126">
        <f>IF($S$1=1,NGLs!$C$6,NGLs!$G$36/1000000)</f>
        <v>0.74806474984095039</v>
      </c>
      <c r="J15" s="127">
        <f>NGLs!$C$7</f>
        <v>54.412768515220073</v>
      </c>
      <c r="K15" s="279">
        <f t="shared" si="0"/>
        <v>72.738046441553394</v>
      </c>
      <c r="L15" s="247"/>
      <c r="M15" s="247"/>
      <c r="N15" s="247"/>
      <c r="O15" s="247"/>
      <c r="P15" s="247"/>
      <c r="Q15" s="247"/>
      <c r="R15" s="247"/>
      <c r="S15" s="247"/>
      <c r="T15" s="247"/>
    </row>
    <row r="16" spans="1:20" ht="17.25" customHeight="1">
      <c r="A16" s="247"/>
      <c r="B16" s="275" t="s">
        <v>184</v>
      </c>
      <c r="C16" s="202">
        <v>37</v>
      </c>
      <c r="D16" s="272" t="s">
        <v>185</v>
      </c>
      <c r="E16" s="273" t="s">
        <v>174</v>
      </c>
      <c r="F16" s="274" t="s">
        <v>175</v>
      </c>
      <c r="G16" s="247"/>
      <c r="H16" s="278" t="s">
        <v>186</v>
      </c>
      <c r="I16" s="126">
        <f>IF($S$1=1,Biofuels!$C$6,Biofuels!$C$23)</f>
        <v>0.17693019095681309</v>
      </c>
      <c r="J16" s="127">
        <f>Biofuels!$C$7</f>
        <v>6.6806827562519127</v>
      </c>
      <c r="K16" s="279">
        <f t="shared" si="0"/>
        <v>37.758862521561404</v>
      </c>
      <c r="L16" s="247"/>
      <c r="M16" s="247"/>
      <c r="N16" s="247"/>
      <c r="O16" s="247"/>
      <c r="P16" s="247"/>
      <c r="Q16" s="247"/>
      <c r="R16" s="247"/>
      <c r="S16" s="247"/>
      <c r="T16" s="247"/>
    </row>
    <row r="17" spans="2:20" ht="17.25" customHeight="1">
      <c r="B17" s="93" t="s">
        <v>187</v>
      </c>
      <c r="C17" s="201"/>
      <c r="D17" s="94"/>
      <c r="E17" s="273"/>
      <c r="F17" s="274" t="s">
        <v>188</v>
      </c>
      <c r="G17" s="247"/>
      <c r="H17" s="278" t="s">
        <v>189</v>
      </c>
      <c r="I17" s="126">
        <f>IF($S$1=1,Hydrogen!$C$6,Hydrogen!$F$27/1000000)</f>
        <v>0</v>
      </c>
      <c r="J17" s="127">
        <f>Hydrogen!$C$7</f>
        <v>0</v>
      </c>
      <c r="K17" s="279">
        <f t="shared" si="0"/>
        <v>0</v>
      </c>
      <c r="L17" s="247"/>
      <c r="M17" s="247"/>
      <c r="N17" s="247"/>
      <c r="O17" s="247"/>
      <c r="P17" s="247"/>
      <c r="Q17" s="247"/>
      <c r="R17" s="247"/>
      <c r="S17" s="247"/>
      <c r="T17" s="247"/>
    </row>
    <row r="18" spans="2:20" ht="17.25" customHeight="1">
      <c r="B18" s="275" t="s">
        <v>190</v>
      </c>
      <c r="C18" s="202">
        <v>975</v>
      </c>
      <c r="D18" s="272" t="s">
        <v>159</v>
      </c>
      <c r="E18" s="280" t="s">
        <v>191</v>
      </c>
      <c r="F18" s="274" t="s">
        <v>192</v>
      </c>
      <c r="G18" s="247"/>
      <c r="H18" s="278" t="s">
        <v>193</v>
      </c>
      <c r="I18" s="126">
        <f>IF($S$1=1,'Lower Carbon Power'!$C$6,'Lower Carbon Power'!$C$6)</f>
        <v>1.6826386538890767E-5</v>
      </c>
      <c r="J18" s="127">
        <f>'Lower Carbon Power'!$C$7</f>
        <v>8.0802000000000003E-5</v>
      </c>
      <c r="K18" s="279">
        <f t="shared" si="0"/>
        <v>4.8021005468549429</v>
      </c>
      <c r="L18" s="247"/>
      <c r="M18" s="247"/>
      <c r="N18" s="247"/>
      <c r="O18" s="247"/>
      <c r="P18" s="247"/>
      <c r="Q18" s="247"/>
      <c r="R18" s="247"/>
      <c r="S18" s="247"/>
      <c r="T18" s="247"/>
    </row>
    <row r="19" spans="2:20" ht="17.25" customHeight="1">
      <c r="B19" s="275" t="s">
        <v>194</v>
      </c>
      <c r="C19" s="202">
        <v>680</v>
      </c>
      <c r="D19" s="272" t="s">
        <v>159</v>
      </c>
      <c r="E19" s="280" t="s">
        <v>195</v>
      </c>
      <c r="F19" s="274" t="s">
        <v>196</v>
      </c>
      <c r="G19" s="247"/>
      <c r="H19" s="278" t="s">
        <v>197</v>
      </c>
      <c r="I19" s="220">
        <v>0</v>
      </c>
      <c r="J19" s="281">
        <f>-SUM($C$39:$C$40)</f>
        <v>-10.46</v>
      </c>
      <c r="K19" s="279">
        <f t="shared" si="0"/>
        <v>0</v>
      </c>
      <c r="L19" s="247"/>
      <c r="M19" s="247"/>
      <c r="N19" s="247"/>
      <c r="O19" s="247"/>
      <c r="P19" s="247"/>
      <c r="Q19" s="247"/>
      <c r="R19" s="247"/>
      <c r="S19" s="247"/>
      <c r="T19" s="247"/>
    </row>
    <row r="20" spans="2:20" ht="17.25" customHeight="1">
      <c r="B20" s="275" t="s">
        <v>198</v>
      </c>
      <c r="C20" s="202">
        <v>408</v>
      </c>
      <c r="D20" s="272" t="s">
        <v>159</v>
      </c>
      <c r="E20" s="280" t="s">
        <v>199</v>
      </c>
      <c r="F20" s="274" t="s">
        <v>200</v>
      </c>
      <c r="G20" s="247"/>
      <c r="H20" s="199" t="str">
        <f>IF($S$1=1,"PCI, HHV Basis","PCI, LHV Basis")</f>
        <v>PCI, HHV Basis</v>
      </c>
      <c r="I20" s="199">
        <f>SUM(I13:I19)</f>
        <v>10.427251441316045</v>
      </c>
      <c r="J20" s="200">
        <f>SUM(J13:J19)</f>
        <v>739.23529645443875</v>
      </c>
      <c r="K20" s="96">
        <f t="shared" si="0"/>
        <v>70.894549787622495</v>
      </c>
      <c r="L20" s="247"/>
      <c r="M20" s="247"/>
      <c r="N20" s="247"/>
      <c r="O20" s="247"/>
      <c r="P20" s="247"/>
      <c r="Q20" s="247"/>
      <c r="R20" s="247"/>
      <c r="S20" s="247"/>
      <c r="T20" s="247"/>
    </row>
    <row r="21" spans="2:20" ht="17.25" customHeight="1">
      <c r="B21" s="275" t="s">
        <v>201</v>
      </c>
      <c r="C21" s="202">
        <v>224</v>
      </c>
      <c r="D21" s="272" t="s">
        <v>159</v>
      </c>
      <c r="E21" s="280" t="s">
        <v>202</v>
      </c>
      <c r="F21" s="274" t="s">
        <v>203</v>
      </c>
      <c r="G21" s="247"/>
      <c r="H21" s="371" t="str">
        <f>IF($S$1=1,"*The PCI tool uses a higher heating value to align with existing financial and commercial practices. ","*Sensitivity calculations on a lower heating value basis are also included to allow for comparisons with other frameworks that have chosen a lower heating value basis.")</f>
        <v xml:space="preserve">*The PCI tool uses a higher heating value to align with existing financial and commercial practices. </v>
      </c>
      <c r="I21" s="371"/>
      <c r="J21" s="371"/>
      <c r="K21" s="371"/>
      <c r="L21" s="247"/>
      <c r="M21" s="247"/>
      <c r="N21" s="247"/>
      <c r="O21" s="247"/>
      <c r="P21" s="247"/>
      <c r="Q21" s="247"/>
      <c r="R21" s="247"/>
      <c r="S21" s="247"/>
      <c r="T21" s="247"/>
    </row>
    <row r="22" spans="2:20" ht="17.25" customHeight="1">
      <c r="B22" s="275" t="s">
        <v>204</v>
      </c>
      <c r="C22" s="202">
        <v>327</v>
      </c>
      <c r="D22" s="272" t="s">
        <v>159</v>
      </c>
      <c r="E22" s="280" t="s">
        <v>205</v>
      </c>
      <c r="F22" s="274" t="s">
        <v>206</v>
      </c>
      <c r="G22" s="247"/>
      <c r="H22" s="371"/>
      <c r="I22" s="371"/>
      <c r="J22" s="371"/>
      <c r="K22" s="371"/>
      <c r="L22" s="247"/>
      <c r="M22" s="247"/>
      <c r="N22" s="247"/>
      <c r="O22" s="247"/>
      <c r="P22" s="247"/>
      <c r="Q22" s="247"/>
      <c r="R22" s="247"/>
      <c r="S22" s="247"/>
      <c r="T22" s="247"/>
    </row>
    <row r="23" spans="2:20" ht="17.25" customHeight="1">
      <c r="B23" s="93" t="s">
        <v>207</v>
      </c>
      <c r="C23" s="201"/>
      <c r="D23" s="94"/>
      <c r="E23" s="280"/>
      <c r="F23" s="274"/>
      <c r="G23" s="247"/>
      <c r="H23" s="97"/>
      <c r="I23" s="97"/>
      <c r="J23" s="97"/>
      <c r="K23" s="97"/>
      <c r="L23" s="247"/>
      <c r="M23" s="247"/>
      <c r="N23" s="247"/>
      <c r="O23" s="247"/>
      <c r="P23" s="247"/>
      <c r="Q23" s="247"/>
      <c r="R23" s="247"/>
      <c r="S23" s="247"/>
      <c r="T23" s="247"/>
    </row>
    <row r="24" spans="2:20" ht="17.25" customHeight="1">
      <c r="B24" s="275" t="s">
        <v>208</v>
      </c>
      <c r="C24" s="202">
        <f>4354+5786+24+3</f>
        <v>10167</v>
      </c>
      <c r="D24" s="272" t="s">
        <v>167</v>
      </c>
      <c r="E24" s="277" t="s">
        <v>209</v>
      </c>
      <c r="F24" s="274" t="s">
        <v>210</v>
      </c>
      <c r="G24" s="247"/>
      <c r="H24" s="247"/>
      <c r="I24" s="247"/>
      <c r="J24" s="247"/>
      <c r="K24" s="247"/>
      <c r="L24" s="247"/>
      <c r="M24" s="247"/>
      <c r="N24" s="247"/>
      <c r="O24" s="247"/>
      <c r="P24" s="247"/>
      <c r="Q24" s="247"/>
      <c r="R24" s="247"/>
      <c r="S24" s="247"/>
      <c r="T24" s="247"/>
    </row>
    <row r="25" spans="2:20" ht="17.25" customHeight="1">
      <c r="B25" s="275" t="s">
        <v>211</v>
      </c>
      <c r="C25" s="202">
        <f>276+107</f>
        <v>383</v>
      </c>
      <c r="D25" s="272" t="s">
        <v>159</v>
      </c>
      <c r="E25" s="273" t="s">
        <v>209</v>
      </c>
      <c r="F25" s="274" t="s">
        <v>210</v>
      </c>
      <c r="G25" s="247"/>
      <c r="H25" s="247"/>
      <c r="I25" s="247"/>
      <c r="J25" s="247"/>
      <c r="K25" s="247"/>
      <c r="L25" s="247"/>
      <c r="M25" s="247"/>
      <c r="N25" s="247"/>
      <c r="O25" s="247"/>
      <c r="P25" s="247"/>
      <c r="Q25" s="247"/>
      <c r="R25" s="247"/>
      <c r="S25" s="247"/>
      <c r="T25" s="247"/>
    </row>
    <row r="26" spans="2:20" ht="17.25" customHeight="1">
      <c r="B26" s="275" t="s">
        <v>212</v>
      </c>
      <c r="C26" s="202">
        <f>27+127</f>
        <v>154</v>
      </c>
      <c r="D26" s="272" t="s">
        <v>159</v>
      </c>
      <c r="E26" s="277" t="s">
        <v>191</v>
      </c>
      <c r="F26" s="274" t="s">
        <v>192</v>
      </c>
      <c r="G26" s="247"/>
      <c r="H26" s="247"/>
      <c r="I26" s="247"/>
      <c r="J26" s="247"/>
      <c r="K26" s="247"/>
      <c r="L26" s="247"/>
      <c r="M26" s="247"/>
      <c r="N26" s="247"/>
      <c r="O26" s="247"/>
      <c r="P26" s="247"/>
      <c r="Q26" s="247"/>
      <c r="R26" s="247"/>
      <c r="S26" s="247"/>
      <c r="T26" s="247"/>
    </row>
    <row r="27" spans="2:20" ht="17.25" customHeight="1">
      <c r="B27" s="275" t="s">
        <v>213</v>
      </c>
      <c r="C27" s="202">
        <v>0</v>
      </c>
      <c r="D27" s="272" t="s">
        <v>167</v>
      </c>
      <c r="E27" s="277" t="s">
        <v>214</v>
      </c>
      <c r="F27" s="274" t="s">
        <v>215</v>
      </c>
      <c r="G27" s="247"/>
      <c r="H27" s="247"/>
      <c r="I27" s="58"/>
      <c r="J27" s="247"/>
      <c r="K27" s="247"/>
      <c r="L27" s="247"/>
      <c r="M27" s="247"/>
      <c r="N27" s="247"/>
      <c r="O27" s="247"/>
      <c r="P27" s="247"/>
      <c r="Q27" s="247"/>
      <c r="R27" s="247"/>
      <c r="S27" s="247"/>
      <c r="T27" s="247"/>
    </row>
    <row r="28" spans="2:20" ht="17.25" customHeight="1">
      <c r="B28" s="93" t="s">
        <v>216</v>
      </c>
      <c r="C28" s="201"/>
      <c r="D28" s="94"/>
      <c r="E28" s="277"/>
      <c r="F28" s="274" t="s">
        <v>188</v>
      </c>
      <c r="G28" s="247"/>
      <c r="H28" s="247"/>
      <c r="I28" s="247"/>
      <c r="J28" s="247"/>
      <c r="K28" s="247"/>
      <c r="L28" s="247"/>
      <c r="M28" s="247"/>
      <c r="N28" s="247"/>
      <c r="O28" s="247"/>
      <c r="P28" s="247"/>
      <c r="Q28" s="247"/>
      <c r="R28" s="247"/>
      <c r="S28" s="247"/>
      <c r="T28" s="247"/>
    </row>
    <row r="29" spans="2:20" ht="27" thickBot="1">
      <c r="B29" s="193" t="s">
        <v>217</v>
      </c>
      <c r="C29" s="202">
        <v>105</v>
      </c>
      <c r="D29" s="282" t="s">
        <v>218</v>
      </c>
      <c r="E29" s="277" t="s">
        <v>219</v>
      </c>
      <c r="F29" s="274" t="s">
        <v>220</v>
      </c>
      <c r="G29" s="247"/>
      <c r="H29" s="370"/>
      <c r="I29" s="370"/>
      <c r="J29" s="370"/>
      <c r="K29" s="370"/>
      <c r="L29" s="247"/>
      <c r="M29" s="247"/>
      <c r="N29" s="247"/>
      <c r="O29" s="247"/>
      <c r="P29" s="247"/>
      <c r="Q29" s="247"/>
      <c r="R29" s="247"/>
      <c r="S29" s="247"/>
      <c r="T29" s="247"/>
    </row>
    <row r="30" spans="2:20" ht="17.25" customHeight="1">
      <c r="B30" s="93" t="s">
        <v>189</v>
      </c>
      <c r="C30" s="201"/>
      <c r="D30" s="94"/>
      <c r="E30" s="273"/>
      <c r="F30" s="274" t="s">
        <v>188</v>
      </c>
      <c r="G30" s="247"/>
      <c r="H30" s="370"/>
      <c r="I30" s="370"/>
      <c r="J30" s="370"/>
      <c r="K30" s="370"/>
      <c r="L30" s="247"/>
      <c r="M30" s="247"/>
      <c r="N30" s="247"/>
      <c r="O30" s="247"/>
      <c r="P30" s="247"/>
      <c r="Q30" s="247"/>
      <c r="R30" s="247"/>
      <c r="S30" s="247"/>
      <c r="T30" s="247"/>
    </row>
    <row r="31" spans="2:20" ht="17.25" customHeight="1">
      <c r="B31" s="275" t="s">
        <v>221</v>
      </c>
      <c r="C31" s="202">
        <v>0</v>
      </c>
      <c r="D31" s="272" t="s">
        <v>222</v>
      </c>
      <c r="E31" s="367" t="s">
        <v>214</v>
      </c>
      <c r="F31" s="274" t="s">
        <v>215</v>
      </c>
      <c r="G31" s="247"/>
      <c r="H31" s="370"/>
      <c r="I31" s="370"/>
      <c r="J31" s="370"/>
      <c r="K31" s="370"/>
      <c r="L31" s="247"/>
      <c r="M31" s="247"/>
      <c r="N31" s="247"/>
      <c r="O31" s="247"/>
      <c r="P31" s="247"/>
      <c r="Q31" s="247"/>
      <c r="R31" s="247"/>
      <c r="S31" s="247"/>
      <c r="T31" s="247"/>
    </row>
    <row r="32" spans="2:20" ht="17.25" customHeight="1">
      <c r="B32" s="275" t="s">
        <v>223</v>
      </c>
      <c r="C32" s="202">
        <v>0</v>
      </c>
      <c r="D32" s="272" t="s">
        <v>222</v>
      </c>
      <c r="E32" s="368"/>
      <c r="F32" s="274" t="s">
        <v>215</v>
      </c>
      <c r="G32" s="247"/>
      <c r="H32" s="370"/>
      <c r="I32" s="370"/>
      <c r="J32" s="370"/>
      <c r="K32" s="370"/>
      <c r="L32" s="247"/>
      <c r="M32" s="247"/>
      <c r="N32" s="247"/>
      <c r="O32" s="247"/>
      <c r="P32" s="247"/>
      <c r="Q32" s="247"/>
      <c r="R32" s="247"/>
      <c r="S32" s="247"/>
      <c r="T32" s="247"/>
    </row>
    <row r="33" spans="2:11" ht="17.25" customHeight="1">
      <c r="B33" s="275" t="s">
        <v>224</v>
      </c>
      <c r="C33" s="202">
        <v>0</v>
      </c>
      <c r="D33" s="272" t="s">
        <v>222</v>
      </c>
      <c r="E33" s="369"/>
      <c r="F33" s="274" t="s">
        <v>215</v>
      </c>
      <c r="G33" s="247"/>
      <c r="H33" s="370"/>
      <c r="I33" s="370"/>
      <c r="J33" s="370"/>
      <c r="K33" s="370"/>
    </row>
    <row r="34" spans="2:11" ht="17.25" customHeight="1">
      <c r="B34" s="93" t="s">
        <v>193</v>
      </c>
      <c r="C34" s="201"/>
      <c r="D34" s="94"/>
      <c r="E34" s="283"/>
      <c r="F34" s="274" t="s">
        <v>188</v>
      </c>
      <c r="G34" s="247"/>
      <c r="H34" s="284"/>
      <c r="I34" s="279"/>
      <c r="J34" s="279"/>
      <c r="K34" s="279"/>
    </row>
    <row r="35" spans="2:11" ht="17.25" customHeight="1">
      <c r="B35" s="275" t="s">
        <v>225</v>
      </c>
      <c r="C35" s="202">
        <v>4006</v>
      </c>
      <c r="D35" s="272" t="s">
        <v>226</v>
      </c>
      <c r="E35" s="277" t="s">
        <v>227</v>
      </c>
      <c r="F35" s="274" t="s">
        <v>228</v>
      </c>
      <c r="G35" s="247"/>
      <c r="H35" s="284"/>
      <c r="I35" s="279"/>
      <c r="J35" s="279"/>
      <c r="K35" s="279"/>
    </row>
    <row r="36" spans="2:11" ht="17.25" customHeight="1">
      <c r="B36" s="275" t="s">
        <v>229</v>
      </c>
      <c r="C36" s="202">
        <v>668</v>
      </c>
      <c r="D36" s="272" t="s">
        <v>226</v>
      </c>
      <c r="E36" s="273" t="s">
        <v>230</v>
      </c>
      <c r="F36" s="274" t="s">
        <v>231</v>
      </c>
      <c r="G36" s="247"/>
      <c r="H36" s="284"/>
      <c r="I36" s="279"/>
      <c r="J36" s="279"/>
      <c r="K36" s="279"/>
    </row>
    <row r="37" spans="2:11" ht="17.25" customHeight="1">
      <c r="B37" s="275" t="s">
        <v>232</v>
      </c>
      <c r="C37" s="202">
        <v>0</v>
      </c>
      <c r="D37" s="272" t="s">
        <v>226</v>
      </c>
      <c r="E37" s="273" t="s">
        <v>233</v>
      </c>
      <c r="F37" s="274" t="s">
        <v>234</v>
      </c>
      <c r="G37" s="247"/>
      <c r="H37" s="284"/>
      <c r="I37" s="279"/>
      <c r="J37" s="279"/>
      <c r="K37" s="279"/>
    </row>
    <row r="38" spans="2:11" ht="17.25" customHeight="1">
      <c r="B38" s="93" t="s">
        <v>197</v>
      </c>
      <c r="C38" s="201"/>
      <c r="D38" s="94"/>
      <c r="E38" s="273"/>
      <c r="F38" s="274" t="s">
        <v>188</v>
      </c>
      <c r="G38" s="247"/>
      <c r="H38" s="284"/>
      <c r="I38" s="279"/>
      <c r="J38" s="279"/>
      <c r="K38" s="279"/>
    </row>
    <row r="39" spans="2:11" ht="17.25" customHeight="1">
      <c r="B39" s="95" t="s">
        <v>235</v>
      </c>
      <c r="C39" s="202">
        <v>0</v>
      </c>
      <c r="D39" s="272" t="s">
        <v>236</v>
      </c>
      <c r="E39" s="273" t="s">
        <v>214</v>
      </c>
      <c r="F39" s="274" t="s">
        <v>215</v>
      </c>
      <c r="G39" s="247"/>
      <c r="H39" s="284"/>
      <c r="I39" s="279"/>
      <c r="J39" s="279"/>
      <c r="K39" s="279"/>
    </row>
    <row r="40" spans="2:11" ht="17.25" customHeight="1">
      <c r="B40" s="275" t="s">
        <v>237</v>
      </c>
      <c r="C40" s="223">
        <v>10.46</v>
      </c>
      <c r="D40" s="272" t="s">
        <v>236</v>
      </c>
      <c r="E40" s="277" t="s">
        <v>238</v>
      </c>
      <c r="F40" s="247" t="s">
        <v>239</v>
      </c>
      <c r="G40" s="247"/>
      <c r="H40" s="284"/>
      <c r="I40" s="279"/>
      <c r="J40" s="279"/>
      <c r="K40" s="279"/>
    </row>
    <row r="41" spans="2:11" ht="13.9" thickTop="1">
      <c r="B41" s="285"/>
      <c r="C41" s="278"/>
      <c r="D41" s="271"/>
      <c r="E41" s="247"/>
      <c r="F41" s="247"/>
      <c r="G41" s="247"/>
      <c r="H41" s="98"/>
      <c r="I41" s="71"/>
      <c r="J41" s="99"/>
      <c r="K41" s="100"/>
    </row>
    <row r="42" spans="2:11" ht="61.5" customHeight="1">
      <c r="B42" s="366" t="s">
        <v>240</v>
      </c>
      <c r="C42" s="366"/>
      <c r="D42" s="366"/>
      <c r="E42" s="366"/>
      <c r="F42" s="247"/>
      <c r="G42" s="247"/>
      <c r="H42" s="247"/>
      <c r="I42" s="247"/>
      <c r="J42" s="247"/>
      <c r="K42" s="247"/>
    </row>
    <row r="43" spans="2:11">
      <c r="B43" s="247"/>
      <c r="C43" s="247"/>
      <c r="D43" s="247"/>
      <c r="E43" s="247"/>
      <c r="F43" s="247"/>
      <c r="G43" s="247"/>
      <c r="H43" s="247"/>
      <c r="I43" s="247"/>
      <c r="J43" s="247"/>
      <c r="K43" s="247"/>
    </row>
    <row r="44" spans="2:11">
      <c r="B44" s="247"/>
      <c r="C44" s="247"/>
      <c r="D44" s="247"/>
      <c r="E44" s="247"/>
      <c r="F44" s="247"/>
      <c r="G44" s="247"/>
      <c r="H44" s="247"/>
      <c r="I44" s="247"/>
      <c r="J44" s="247"/>
      <c r="K44" s="247"/>
    </row>
    <row r="45" spans="2:11">
      <c r="B45" s="247"/>
      <c r="C45" s="247"/>
      <c r="D45" s="247"/>
      <c r="E45" s="247"/>
      <c r="F45" s="247"/>
      <c r="G45" s="247"/>
      <c r="H45" s="247"/>
      <c r="I45" s="247"/>
      <c r="J45" s="247"/>
      <c r="K45" s="247"/>
    </row>
    <row r="46" spans="2:11">
      <c r="B46" s="247"/>
      <c r="C46" s="247"/>
      <c r="D46" s="247"/>
      <c r="E46" s="247"/>
      <c r="F46" s="247"/>
      <c r="G46" s="247"/>
      <c r="H46" s="247"/>
      <c r="I46" s="247"/>
      <c r="J46" s="247"/>
      <c r="K46" s="247"/>
    </row>
  </sheetData>
  <sheetProtection selectLockedCells="1"/>
  <mergeCells count="13">
    <mergeCell ref="H8:K8"/>
    <mergeCell ref="H7:K7"/>
    <mergeCell ref="B42:E42"/>
    <mergeCell ref="E31:E33"/>
    <mergeCell ref="H29:H33"/>
    <mergeCell ref="I29:I33"/>
    <mergeCell ref="J29:J33"/>
    <mergeCell ref="K29:K33"/>
    <mergeCell ref="H21:K22"/>
    <mergeCell ref="H9:H12"/>
    <mergeCell ref="I9:I12"/>
    <mergeCell ref="J9:J12"/>
    <mergeCell ref="K9:K12"/>
  </mergeCells>
  <phoneticPr fontId="5" type="noConversion"/>
  <pageMargins left="0.25" right="0.25" top="0.75" bottom="0.75" header="0.3" footer="0.3"/>
  <pageSetup scale="40" orientation="landscape" horizontalDpi="360" verticalDpi="360" r:id="rId1"/>
  <ignoredErrors>
    <ignoredError sqref="C24:C26 C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5635" r:id="rId4" name="Option Button 35">
              <controlPr defaultSize="0" autoFill="0" autoLine="0" autoPict="0">
                <anchor moveWithCells="1">
                  <from>
                    <xdr:col>10</xdr:col>
                    <xdr:colOff>68580</xdr:colOff>
                    <xdr:row>2</xdr:row>
                    <xdr:rowOff>68580</xdr:rowOff>
                  </from>
                  <to>
                    <xdr:col>10</xdr:col>
                    <xdr:colOff>335280</xdr:colOff>
                    <xdr:row>2</xdr:row>
                    <xdr:rowOff>297180</xdr:rowOff>
                  </to>
                </anchor>
              </controlPr>
            </control>
          </mc:Choice>
        </mc:AlternateContent>
        <mc:AlternateContent xmlns:mc="http://schemas.openxmlformats.org/markup-compatibility/2006">
          <mc:Choice Requires="x14">
            <control shapeId="25636" r:id="rId5" name="Option Button 36">
              <controlPr defaultSize="0" autoFill="0" autoLine="0" autoPict="0">
                <anchor moveWithCells="1">
                  <from>
                    <xdr:col>11</xdr:col>
                    <xdr:colOff>426720</xdr:colOff>
                    <xdr:row>2</xdr:row>
                    <xdr:rowOff>68580</xdr:rowOff>
                  </from>
                  <to>
                    <xdr:col>12</xdr:col>
                    <xdr:colOff>38100</xdr:colOff>
                    <xdr:row>2</xdr:row>
                    <xdr:rowOff>297180</xdr:rowOff>
                  </to>
                </anchor>
              </controlPr>
            </control>
          </mc:Choice>
        </mc:AlternateContent>
        <mc:AlternateContent xmlns:mc="http://schemas.openxmlformats.org/markup-compatibility/2006">
          <mc:Choice Requires="x14">
            <control shapeId="25639" r:id="rId6" name="Check Box 39">
              <controlPr defaultSize="0" autoFill="0" autoLine="0" autoPict="0">
                <anchor moveWithCells="1">
                  <from>
                    <xdr:col>0</xdr:col>
                    <xdr:colOff>525780</xdr:colOff>
                    <xdr:row>2</xdr:row>
                    <xdr:rowOff>38100</xdr:rowOff>
                  </from>
                  <to>
                    <xdr:col>1</xdr:col>
                    <xdr:colOff>198120</xdr:colOff>
                    <xdr:row>2</xdr:row>
                    <xdr:rowOff>297180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32758-CA6B-4114-BD2B-149E5E9AD021}">
  <sheetPr>
    <tabColor theme="8" tint="0.79998168889431442"/>
  </sheetPr>
  <dimension ref="B1:F23"/>
  <sheetViews>
    <sheetView showGridLines="0" zoomScale="70" zoomScaleNormal="70" workbookViewId="0">
      <pane ySplit="1" topLeftCell="A2" activePane="bottomLeft" state="frozen"/>
      <selection pane="bottomLeft" activeCell="A2" sqref="A2"/>
      <selection activeCell="B16" sqref="B16"/>
    </sheetView>
  </sheetViews>
  <sheetFormatPr defaultColWidth="8.85546875" defaultRowHeight="14.45"/>
  <cols>
    <col min="1" max="1" width="11.140625" customWidth="1"/>
    <col min="2" max="2" width="59.140625" customWidth="1"/>
    <col min="3" max="3" width="21.140625" customWidth="1"/>
    <col min="4" max="4" width="10.42578125" customWidth="1"/>
    <col min="5" max="5" width="28.42578125" customWidth="1"/>
    <col min="6" max="6" width="70.85546875" customWidth="1"/>
    <col min="7" max="7" width="9.140625" customWidth="1"/>
    <col min="8" max="8" width="23.140625" bestFit="1" customWidth="1"/>
    <col min="9" max="9" width="26.42578125" bestFit="1" customWidth="1"/>
    <col min="10" max="10" width="45.140625" bestFit="1" customWidth="1"/>
    <col min="11" max="11" width="36.42578125" bestFit="1" customWidth="1"/>
  </cols>
  <sheetData>
    <row r="1" spans="2:6" ht="99.75" customHeight="1"/>
    <row r="2" spans="2:6" s="17" customFormat="1" ht="42" customHeight="1">
      <c r="B2" s="24" t="s">
        <v>241</v>
      </c>
      <c r="C2" s="247"/>
      <c r="D2" s="113" t="s">
        <v>242</v>
      </c>
      <c r="E2" s="247"/>
      <c r="F2" s="87" t="b">
        <v>0</v>
      </c>
    </row>
    <row r="3" spans="2:6" s="17" customFormat="1" ht="13.15">
      <c r="B3" s="247"/>
      <c r="C3" s="247"/>
      <c r="D3" s="247"/>
      <c r="E3" s="247"/>
      <c r="F3" s="247"/>
    </row>
    <row r="4" spans="2:6" s="17" customFormat="1" ht="13.15">
      <c r="B4" s="247" t="s">
        <v>243</v>
      </c>
      <c r="C4" s="247"/>
      <c r="D4" s="247"/>
      <c r="E4" s="247"/>
      <c r="F4" s="247"/>
    </row>
    <row r="5" spans="2:6" s="17" customFormat="1" ht="13.15">
      <c r="B5" s="247"/>
      <c r="C5" s="247"/>
      <c r="D5" s="247"/>
      <c r="E5" s="247"/>
      <c r="F5" s="247"/>
    </row>
    <row r="6" spans="2:6" s="17" customFormat="1" ht="13.15">
      <c r="B6" s="114" t="s">
        <v>244</v>
      </c>
      <c r="C6" s="286"/>
      <c r="D6" s="287"/>
      <c r="E6" s="287"/>
      <c r="F6" s="287"/>
    </row>
    <row r="7" spans="2:6" s="17" customFormat="1" ht="13.9" thickBot="1">
      <c r="B7" s="288"/>
      <c r="C7" s="247"/>
      <c r="D7" s="247"/>
      <c r="E7" s="247"/>
      <c r="F7" s="247"/>
    </row>
    <row r="8" spans="2:6" s="17" customFormat="1" thickTop="1" thickBot="1">
      <c r="B8" s="289" t="s">
        <v>245</v>
      </c>
      <c r="C8" s="120">
        <v>1800</v>
      </c>
      <c r="D8" s="247" t="s">
        <v>246</v>
      </c>
      <c r="E8" s="247"/>
      <c r="F8" s="247"/>
    </row>
    <row r="9" spans="2:6" s="17" customFormat="1" ht="13.9" thickTop="1">
      <c r="B9" s="290"/>
      <c r="C9" s="247"/>
      <c r="D9" s="247"/>
      <c r="E9" s="247"/>
      <c r="F9" s="247"/>
    </row>
    <row r="10" spans="2:6" s="17" customFormat="1" ht="40.15" thickBot="1">
      <c r="B10" s="115" t="s">
        <v>247</v>
      </c>
      <c r="C10" s="116" t="s">
        <v>248</v>
      </c>
      <c r="D10" s="117" t="s">
        <v>159</v>
      </c>
      <c r="E10" s="291"/>
      <c r="F10" s="247"/>
    </row>
    <row r="11" spans="2:6" s="17" customFormat="1" ht="13.9" thickTop="1">
      <c r="B11" s="278" t="s">
        <v>190</v>
      </c>
      <c r="C11" s="119">
        <v>0.30345710599999998</v>
      </c>
      <c r="D11" s="292">
        <f>$C$8*C11</f>
        <v>546.22279079999998</v>
      </c>
      <c r="E11" s="270"/>
      <c r="F11" s="247"/>
    </row>
    <row r="12" spans="2:6" s="17" customFormat="1" ht="13.15">
      <c r="B12" s="278" t="s">
        <v>194</v>
      </c>
      <c r="C12" s="119">
        <v>0.34571062699999999</v>
      </c>
      <c r="D12" s="292">
        <f>$C$8*C12</f>
        <v>622.27912860000004</v>
      </c>
      <c r="E12" s="270"/>
      <c r="F12" s="247"/>
    </row>
    <row r="13" spans="2:6" s="17" customFormat="1" ht="13.15">
      <c r="B13" s="278" t="s">
        <v>198</v>
      </c>
      <c r="C13" s="119">
        <v>6.0179257E-2</v>
      </c>
      <c r="D13" s="292">
        <f>$C$8*C13</f>
        <v>108.3226626</v>
      </c>
      <c r="E13" s="270"/>
      <c r="F13" s="247"/>
    </row>
    <row r="14" spans="2:6" s="17" customFormat="1" ht="13.15">
      <c r="B14" s="278" t="s">
        <v>201</v>
      </c>
      <c r="C14" s="119">
        <v>7.4263763999999996E-2</v>
      </c>
      <c r="D14" s="292">
        <f>$C$8*C14</f>
        <v>133.6747752</v>
      </c>
      <c r="E14" s="270"/>
      <c r="F14" s="247"/>
    </row>
    <row r="15" spans="2:6" s="17" customFormat="1" ht="13.15">
      <c r="B15" s="293" t="s">
        <v>249</v>
      </c>
      <c r="C15" s="119">
        <v>0.21638924500000001</v>
      </c>
      <c r="D15" s="292">
        <f>$C$8*C15</f>
        <v>389.50064100000003</v>
      </c>
      <c r="E15" s="270"/>
      <c r="F15" s="247"/>
    </row>
    <row r="16" spans="2:6" s="17" customFormat="1" ht="13.15">
      <c r="B16" s="247"/>
      <c r="C16" s="247"/>
      <c r="D16" s="247"/>
      <c r="E16" s="247"/>
      <c r="F16" s="247"/>
    </row>
    <row r="17" spans="2:3" s="17" customFormat="1" ht="13.15">
      <c r="B17" s="118" t="s">
        <v>250</v>
      </c>
      <c r="C17" s="247"/>
    </row>
    <row r="18" spans="2:3" s="17" customFormat="1" ht="13.15">
      <c r="B18" s="247"/>
      <c r="C18" s="247"/>
    </row>
    <row r="19" spans="2:3" s="17" customFormat="1" ht="13.15">
      <c r="B19" s="247"/>
      <c r="C19" s="294"/>
    </row>
    <row r="20" spans="2:3">
      <c r="C20" s="2"/>
    </row>
    <row r="21" spans="2:3">
      <c r="C21" s="2"/>
    </row>
    <row r="22" spans="2:3">
      <c r="C22" s="2"/>
    </row>
    <row r="23" spans="2:3">
      <c r="C23" s="2"/>
    </row>
  </sheetData>
  <sheetProtection selectLockedCells="1"/>
  <pageMargins left="0.25" right="0.25" top="0.75" bottom="0.75" header="0.3" footer="0.3"/>
  <pageSetup scale="50" orientation="landscape" horizontalDpi="360"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nchor moveWithCells="1">
                  <from>
                    <xdr:col>2</xdr:col>
                    <xdr:colOff>1280160</xdr:colOff>
                    <xdr:row>1</xdr:row>
                    <xdr:rowOff>289560</xdr:rowOff>
                  </from>
                  <to>
                    <xdr:col>3</xdr:col>
                    <xdr:colOff>7620</xdr:colOff>
                    <xdr:row>1</xdr:row>
                    <xdr:rowOff>495300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9063E-F87E-4BD6-825C-9021487180C4}">
  <sheetPr>
    <tabColor rgb="FFFFFF99"/>
  </sheetPr>
  <dimension ref="B1:J105"/>
  <sheetViews>
    <sheetView showGridLines="0" zoomScale="70" zoomScaleNormal="70" workbookViewId="0">
      <pane ySplit="1" topLeftCell="A2" activePane="bottomLeft" state="frozen"/>
      <selection pane="bottomLeft" activeCell="A2" sqref="A2"/>
      <selection activeCell="B16" sqref="B16"/>
    </sheetView>
  </sheetViews>
  <sheetFormatPr defaultColWidth="9.140625" defaultRowHeight="13.9"/>
  <cols>
    <col min="1" max="1" width="9.140625" style="101" customWidth="1"/>
    <col min="2" max="2" width="9.85546875" style="101" customWidth="1"/>
    <col min="3" max="3" width="62.85546875" style="101" customWidth="1"/>
    <col min="4" max="4" width="25.140625" style="101" customWidth="1"/>
    <col min="5" max="5" width="61.140625" style="101" customWidth="1"/>
    <col min="6" max="7" width="25.140625" style="101" customWidth="1"/>
    <col min="8" max="8" width="33.42578125" style="101" customWidth="1"/>
    <col min="9" max="16384" width="9.140625" style="101"/>
  </cols>
  <sheetData>
    <row r="1" spans="2:10" ht="99.75" customHeight="1"/>
    <row r="2" spans="2:10" ht="35.25" customHeight="1">
      <c r="B2" s="131" t="s">
        <v>251</v>
      </c>
      <c r="F2" s="186"/>
      <c r="G2" s="186"/>
      <c r="H2" s="186"/>
    </row>
    <row r="3" spans="2:10" ht="17.45">
      <c r="B3" s="132" t="s">
        <v>148</v>
      </c>
    </row>
    <row r="4" spans="2:10" ht="17.45">
      <c r="B4" s="132"/>
    </row>
    <row r="5" spans="2:10">
      <c r="B5" s="45" t="s">
        <v>252</v>
      </c>
    </row>
    <row r="6" spans="2:10">
      <c r="B6" s="247"/>
    </row>
    <row r="7" spans="2:10" ht="25.15" thickBot="1">
      <c r="B7" s="133" t="s">
        <v>253</v>
      </c>
      <c r="C7" s="133"/>
      <c r="D7" s="133"/>
      <c r="E7" s="133"/>
      <c r="F7" s="133"/>
      <c r="G7" s="133"/>
      <c r="H7" s="133"/>
    </row>
    <row r="8" spans="2:10" ht="27.6">
      <c r="B8" s="134"/>
      <c r="C8" s="135" t="s">
        <v>67</v>
      </c>
      <c r="D8" s="136" t="str">
        <f>IF(Dashboard!S2=TRUE,"Default Chevron Value - Active","Default Chevron Value - Inactive")</f>
        <v>Default Chevron Value - Active</v>
      </c>
      <c r="E8" s="137" t="s">
        <v>254</v>
      </c>
      <c r="F8" s="136" t="str">
        <f>IF(Dashboard!S2=TRUE,"Custom Value - Inactive","Custom Value - Active")</f>
        <v>Custom Value - Inactive</v>
      </c>
      <c r="G8" s="136" t="s">
        <v>255</v>
      </c>
      <c r="H8" s="136"/>
    </row>
    <row r="9" spans="2:10" ht="17.45">
      <c r="B9" s="138" t="s">
        <v>256</v>
      </c>
      <c r="C9" s="138"/>
      <c r="D9" s="138"/>
      <c r="E9" s="174"/>
      <c r="F9" s="138"/>
      <c r="G9" s="138"/>
      <c r="H9" s="138"/>
    </row>
    <row r="10" spans="2:10">
      <c r="C10" s="139" t="s">
        <v>257</v>
      </c>
      <c r="D10" s="140">
        <v>365</v>
      </c>
      <c r="E10" s="175" t="s">
        <v>258</v>
      </c>
      <c r="F10" s="140">
        <v>365</v>
      </c>
      <c r="G10" s="375"/>
      <c r="H10" s="375"/>
    </row>
    <row r="11" spans="2:10" s="148" customFormat="1">
      <c r="C11" s="142" t="s">
        <v>259</v>
      </c>
      <c r="D11" s="140">
        <v>947.81700000000001</v>
      </c>
      <c r="E11" s="190" t="s">
        <v>260</v>
      </c>
      <c r="F11" s="140">
        <v>947.81700000000001</v>
      </c>
      <c r="G11" s="375"/>
      <c r="H11" s="375"/>
    </row>
    <row r="12" spans="2:10" ht="17.45">
      <c r="B12" s="138" t="s">
        <v>177</v>
      </c>
      <c r="C12" s="138"/>
      <c r="D12" s="141"/>
      <c r="E12" s="174"/>
      <c r="F12" s="141"/>
      <c r="G12" s="138"/>
      <c r="H12" s="138"/>
    </row>
    <row r="13" spans="2:10" ht="45" customHeight="1">
      <c r="C13" s="142" t="s">
        <v>261</v>
      </c>
      <c r="D13" s="143">
        <v>1.0629999999999999</v>
      </c>
      <c r="E13" s="245" t="s">
        <v>262</v>
      </c>
      <c r="F13" s="144">
        <v>1.0629999999999999</v>
      </c>
      <c r="G13" s="377"/>
      <c r="H13" s="377"/>
      <c r="J13" s="244"/>
    </row>
    <row r="14" spans="2:10" ht="17.45">
      <c r="B14" s="138" t="s">
        <v>263</v>
      </c>
      <c r="C14" s="138"/>
      <c r="D14" s="138"/>
      <c r="E14" s="174"/>
      <c r="F14" s="141"/>
      <c r="G14" s="138"/>
      <c r="H14" s="138"/>
    </row>
    <row r="15" spans="2:10" ht="57" customHeight="1">
      <c r="C15" s="142" t="s">
        <v>264</v>
      </c>
      <c r="D15" s="145">
        <v>1037</v>
      </c>
      <c r="E15" s="238" t="s">
        <v>265</v>
      </c>
      <c r="F15" s="145">
        <v>1037</v>
      </c>
      <c r="G15" s="375"/>
      <c r="H15" s="375"/>
      <c r="I15" s="238"/>
    </row>
    <row r="16" spans="2:10" ht="48" customHeight="1">
      <c r="C16" s="142" t="s">
        <v>266</v>
      </c>
      <c r="D16" s="145">
        <v>933</v>
      </c>
      <c r="E16" s="179" t="s">
        <v>267</v>
      </c>
      <c r="F16" s="145">
        <v>933</v>
      </c>
      <c r="G16" s="375"/>
      <c r="H16" s="375"/>
    </row>
    <row r="17" spans="2:8" ht="48" customHeight="1">
      <c r="C17" s="142" t="s">
        <v>268</v>
      </c>
      <c r="D17" s="145">
        <v>6</v>
      </c>
      <c r="E17" s="176" t="s">
        <v>260</v>
      </c>
      <c r="F17" s="145">
        <v>6</v>
      </c>
      <c r="G17" s="375"/>
      <c r="H17" s="375"/>
    </row>
    <row r="18" spans="2:8" ht="17.45">
      <c r="B18" s="138" t="s">
        <v>269</v>
      </c>
      <c r="C18" s="138"/>
      <c r="D18" s="146"/>
      <c r="E18" s="177"/>
      <c r="F18" s="146"/>
      <c r="G18" s="146"/>
      <c r="H18" s="146"/>
    </row>
    <row r="19" spans="2:8" s="148" customFormat="1" ht="55.15">
      <c r="C19" s="142" t="s">
        <v>270</v>
      </c>
      <c r="D19" s="147">
        <f>Factors!$F$99</f>
        <v>3617400</v>
      </c>
      <c r="E19" s="129" t="s">
        <v>271</v>
      </c>
      <c r="F19" s="147">
        <f>Factors!$F$99</f>
        <v>3617400</v>
      </c>
      <c r="G19" s="375"/>
      <c r="H19" s="375"/>
    </row>
    <row r="20" spans="2:8" s="148" customFormat="1" ht="55.15">
      <c r="C20" s="142" t="s">
        <v>272</v>
      </c>
      <c r="D20" s="147">
        <f>Factors!$H$99</f>
        <v>3434800</v>
      </c>
      <c r="E20" s="129" t="s">
        <v>273</v>
      </c>
      <c r="F20" s="147">
        <f>Factors!$H$99</f>
        <v>3434800</v>
      </c>
      <c r="G20" s="375"/>
      <c r="H20" s="375"/>
    </row>
    <row r="21" spans="2:8" ht="17.45">
      <c r="B21" s="138" t="s">
        <v>189</v>
      </c>
      <c r="C21" s="138"/>
      <c r="D21" s="146"/>
      <c r="E21" s="177"/>
      <c r="F21" s="146"/>
      <c r="G21" s="146"/>
      <c r="H21" s="146"/>
    </row>
    <row r="22" spans="2:8">
      <c r="C22" s="148" t="s">
        <v>274</v>
      </c>
      <c r="D22" s="149">
        <v>343</v>
      </c>
      <c r="E22" s="142" t="s">
        <v>275</v>
      </c>
      <c r="F22" s="149">
        <v>343</v>
      </c>
      <c r="G22" s="375"/>
      <c r="H22" s="375"/>
    </row>
    <row r="23" spans="2:8">
      <c r="C23" s="148" t="s">
        <v>276</v>
      </c>
      <c r="D23" s="149">
        <v>2.6</v>
      </c>
      <c r="E23" s="142" t="s">
        <v>275</v>
      </c>
      <c r="F23" s="149">
        <v>2.6</v>
      </c>
      <c r="G23" s="375"/>
      <c r="H23" s="375"/>
    </row>
    <row r="24" spans="2:8">
      <c r="C24" s="148" t="s">
        <v>277</v>
      </c>
      <c r="D24" s="150">
        <f>290/343</f>
        <v>0.84548104956268222</v>
      </c>
      <c r="E24" s="142" t="s">
        <v>275</v>
      </c>
      <c r="F24" s="150">
        <f>290/343</f>
        <v>0.84548104956268222</v>
      </c>
      <c r="G24" s="151"/>
      <c r="H24" s="151"/>
    </row>
    <row r="25" spans="2:8" ht="17.45">
      <c r="B25" s="138" t="s">
        <v>193</v>
      </c>
      <c r="C25" s="138"/>
      <c r="D25" s="146"/>
      <c r="E25" s="177"/>
      <c r="F25" s="152"/>
      <c r="G25" s="146"/>
      <c r="H25" s="146"/>
    </row>
    <row r="26" spans="2:8">
      <c r="C26" s="142" t="s">
        <v>278</v>
      </c>
      <c r="D26" s="153">
        <v>277.77800000000002</v>
      </c>
      <c r="E26" s="189" t="s">
        <v>260</v>
      </c>
      <c r="F26" s="153">
        <v>277.77800000000002</v>
      </c>
      <c r="G26" s="375"/>
      <c r="H26" s="375"/>
    </row>
    <row r="27" spans="2:8">
      <c r="E27" s="139"/>
    </row>
    <row r="28" spans="2:8">
      <c r="E28" s="139"/>
    </row>
    <row r="29" spans="2:8" ht="25.15" thickBot="1">
      <c r="B29" s="133" t="s">
        <v>279</v>
      </c>
      <c r="C29" s="133"/>
      <c r="D29" s="133"/>
      <c r="E29" s="133"/>
      <c r="F29" s="133"/>
      <c r="G29" s="133"/>
      <c r="H29" s="133"/>
    </row>
    <row r="30" spans="2:8" ht="15" customHeight="1">
      <c r="B30" s="154"/>
      <c r="C30" s="154"/>
      <c r="D30" s="154"/>
      <c r="E30" s="154"/>
      <c r="F30" s="154"/>
      <c r="G30" s="154"/>
      <c r="H30" s="154"/>
    </row>
    <row r="31" spans="2:8">
      <c r="B31" s="155"/>
      <c r="C31" s="156" t="s">
        <v>67</v>
      </c>
      <c r="D31" s="156" t="s">
        <v>280</v>
      </c>
      <c r="E31" s="178"/>
      <c r="F31" s="156" t="s">
        <v>281</v>
      </c>
      <c r="G31" s="157" t="s">
        <v>255</v>
      </c>
      <c r="H31" s="157"/>
    </row>
    <row r="32" spans="2:8" ht="17.45">
      <c r="B32" s="138" t="s">
        <v>177</v>
      </c>
      <c r="C32" s="138"/>
      <c r="D32" s="138"/>
      <c r="E32" s="174"/>
      <c r="F32" s="138"/>
      <c r="G32" s="138"/>
      <c r="H32" s="138"/>
    </row>
    <row r="33" spans="2:8" ht="22.9">
      <c r="B33" s="158"/>
      <c r="C33" s="159" t="s">
        <v>282</v>
      </c>
      <c r="D33" s="160"/>
      <c r="E33" s="159"/>
      <c r="F33" s="160"/>
      <c r="G33" s="160"/>
      <c r="H33" s="159"/>
    </row>
    <row r="34" spans="2:8">
      <c r="C34" s="142" t="s">
        <v>283</v>
      </c>
      <c r="D34" s="161">
        <v>46</v>
      </c>
      <c r="E34" s="179" t="s">
        <v>284</v>
      </c>
      <c r="F34" s="161">
        <v>46</v>
      </c>
      <c r="G34" s="373"/>
      <c r="H34" s="373"/>
    </row>
    <row r="35" spans="2:8">
      <c r="C35" s="142" t="s">
        <v>285</v>
      </c>
      <c r="D35" s="161">
        <v>33</v>
      </c>
      <c r="E35" s="179" t="s">
        <v>284</v>
      </c>
      <c r="F35" s="161">
        <v>33</v>
      </c>
      <c r="G35" s="373"/>
      <c r="H35" s="373"/>
    </row>
    <row r="36" spans="2:8">
      <c r="C36" s="142" t="s">
        <v>286</v>
      </c>
      <c r="D36" s="161">
        <v>9.5</v>
      </c>
      <c r="E36" s="179" t="s">
        <v>284</v>
      </c>
      <c r="F36" s="161">
        <v>9.5</v>
      </c>
      <c r="G36" s="373"/>
      <c r="H36" s="373"/>
    </row>
    <row r="37" spans="2:8">
      <c r="E37" s="139"/>
    </row>
    <row r="38" spans="2:8" ht="17.45">
      <c r="B38" s="138" t="s">
        <v>263</v>
      </c>
      <c r="C38" s="138"/>
      <c r="D38" s="138"/>
      <c r="E38" s="174"/>
      <c r="F38" s="138"/>
      <c r="G38" s="138"/>
      <c r="H38" s="138"/>
    </row>
    <row r="39" spans="2:8" ht="14.45">
      <c r="C39" s="160" t="s">
        <v>287</v>
      </c>
      <c r="D39" s="160"/>
      <c r="E39" s="159"/>
      <c r="F39" s="159"/>
      <c r="G39" s="159"/>
    </row>
    <row r="40" spans="2:8">
      <c r="C40" s="142" t="s">
        <v>288</v>
      </c>
      <c r="D40" s="140">
        <f>IF(Dashboard!C10&gt;0,Dashboard!C12*Dashboard!C10/(Dashboard!C10-Dashboard!C11),0)</f>
        <v>29.705571971295907</v>
      </c>
      <c r="E40" s="128" t="s">
        <v>289</v>
      </c>
      <c r="F40" s="140">
        <f>IF(Dashboard!C10&gt;0,Dashboard!C12*Dashboard!C10/(Dashboard!C10-Dashboard!C11),0)</f>
        <v>29.705571971295907</v>
      </c>
      <c r="G40" s="375"/>
      <c r="H40" s="375"/>
    </row>
    <row r="41" spans="2:8">
      <c r="C41" s="142" t="s">
        <v>290</v>
      </c>
      <c r="D41" s="149">
        <v>67</v>
      </c>
      <c r="E41" s="128" t="s">
        <v>291</v>
      </c>
      <c r="F41" s="149">
        <v>67</v>
      </c>
      <c r="G41" s="375"/>
      <c r="H41" s="375"/>
    </row>
    <row r="42" spans="2:8">
      <c r="C42" s="142" t="s">
        <v>292</v>
      </c>
      <c r="D42" s="149">
        <v>40</v>
      </c>
      <c r="E42" s="128" t="s">
        <v>291</v>
      </c>
      <c r="F42" s="149">
        <v>40</v>
      </c>
      <c r="G42" s="375"/>
      <c r="H42" s="375"/>
    </row>
    <row r="43" spans="2:8">
      <c r="C43" s="142" t="s">
        <v>293</v>
      </c>
      <c r="D43" s="149">
        <v>22</v>
      </c>
      <c r="E43" s="229" t="s">
        <v>291</v>
      </c>
      <c r="F43" s="149">
        <v>22</v>
      </c>
      <c r="G43" s="375"/>
      <c r="H43" s="375"/>
    </row>
    <row r="44" spans="2:8" ht="27.6">
      <c r="C44" s="142" t="s">
        <v>294</v>
      </c>
      <c r="D44" s="181">
        <v>5.2954800000000003E-2</v>
      </c>
      <c r="E44" s="128" t="s">
        <v>295</v>
      </c>
      <c r="F44" s="181">
        <v>5.2954800000000003E-2</v>
      </c>
      <c r="G44" s="375"/>
      <c r="H44" s="375"/>
    </row>
    <row r="45" spans="2:8">
      <c r="D45" s="162"/>
      <c r="E45" s="139"/>
    </row>
    <row r="46" spans="2:8" ht="17.45">
      <c r="B46" s="138" t="s">
        <v>269</v>
      </c>
      <c r="C46" s="138"/>
      <c r="D46" s="141"/>
      <c r="E46" s="174"/>
      <c r="F46" s="138"/>
      <c r="G46" s="138"/>
      <c r="H46" s="138"/>
    </row>
    <row r="47" spans="2:8">
      <c r="C47" s="142" t="s">
        <v>296</v>
      </c>
      <c r="D47" s="149">
        <v>9.5</v>
      </c>
      <c r="E47" s="128" t="s">
        <v>284</v>
      </c>
      <c r="F47" s="149">
        <v>9.5</v>
      </c>
      <c r="G47" s="373"/>
      <c r="H47" s="373"/>
    </row>
    <row r="48" spans="2:8" ht="27.6">
      <c r="C48" s="139" t="s">
        <v>297</v>
      </c>
      <c r="D48" s="184">
        <v>6.4553799999999995E-2</v>
      </c>
      <c r="E48" s="128" t="s">
        <v>295</v>
      </c>
      <c r="F48" s="184">
        <v>6.4553799999999995E-2</v>
      </c>
      <c r="G48" s="373"/>
      <c r="H48" s="373"/>
    </row>
    <row r="49" spans="2:8">
      <c r="C49" s="139"/>
      <c r="D49" s="162"/>
      <c r="E49" s="139"/>
    </row>
    <row r="50" spans="2:8" ht="17.45">
      <c r="B50" s="138" t="s">
        <v>189</v>
      </c>
      <c r="C50" s="138"/>
      <c r="D50" s="141"/>
      <c r="E50" s="174"/>
      <c r="F50" s="138"/>
      <c r="G50" s="138"/>
      <c r="H50" s="138"/>
    </row>
    <row r="51" spans="2:8" ht="80.099999999999994" customHeight="1">
      <c r="C51" s="148" t="s">
        <v>298</v>
      </c>
      <c r="D51" s="149">
        <v>9.1999999999999993</v>
      </c>
      <c r="E51" s="130" t="s">
        <v>299</v>
      </c>
      <c r="F51" s="149">
        <v>9.1999999999999993</v>
      </c>
      <c r="G51" s="373"/>
      <c r="H51" s="373"/>
    </row>
    <row r="52" spans="2:8" ht="82.9">
      <c r="C52" s="148" t="s">
        <v>300</v>
      </c>
      <c r="D52" s="149">
        <v>1.5</v>
      </c>
      <c r="E52" s="130" t="s">
        <v>301</v>
      </c>
      <c r="F52" s="149">
        <v>1.5</v>
      </c>
      <c r="G52" s="373"/>
      <c r="H52" s="373"/>
    </row>
    <row r="53" spans="2:8" ht="80.099999999999994" customHeight="1">
      <c r="C53" s="148" t="s">
        <v>302</v>
      </c>
      <c r="D53" s="149">
        <v>0.5</v>
      </c>
      <c r="E53" s="130" t="s">
        <v>303</v>
      </c>
      <c r="F53" s="149">
        <v>0.5</v>
      </c>
      <c r="G53" s="373"/>
      <c r="H53" s="373"/>
    </row>
    <row r="54" spans="2:8">
      <c r="C54" s="139"/>
      <c r="D54" s="162"/>
      <c r="E54" s="139"/>
    </row>
    <row r="55" spans="2:8" ht="17.45">
      <c r="B55" s="138" t="s">
        <v>193</v>
      </c>
      <c r="C55" s="138"/>
      <c r="D55" s="141"/>
      <c r="E55" s="174"/>
      <c r="F55" s="138"/>
      <c r="G55" s="138"/>
      <c r="H55" s="138"/>
    </row>
    <row r="56" spans="2:8" ht="30" customHeight="1">
      <c r="C56" s="142" t="s">
        <v>304</v>
      </c>
      <c r="D56" s="149">
        <v>13</v>
      </c>
      <c r="E56" s="130" t="s">
        <v>305</v>
      </c>
      <c r="F56" s="149">
        <v>13</v>
      </c>
      <c r="G56" s="375"/>
      <c r="H56" s="375"/>
    </row>
    <row r="57" spans="2:8" ht="30" customHeight="1">
      <c r="C57" s="142" t="s">
        <v>306</v>
      </c>
      <c r="D57" s="149">
        <v>43</v>
      </c>
      <c r="E57" s="130" t="s">
        <v>307</v>
      </c>
      <c r="F57" s="149">
        <v>43</v>
      </c>
      <c r="G57" s="375"/>
      <c r="H57" s="375"/>
    </row>
    <row r="58" spans="2:8" ht="30" customHeight="1">
      <c r="C58" s="142" t="s">
        <v>308</v>
      </c>
      <c r="D58" s="149">
        <v>37</v>
      </c>
      <c r="E58" s="130" t="s">
        <v>309</v>
      </c>
      <c r="F58" s="149">
        <v>37</v>
      </c>
      <c r="G58" s="375"/>
      <c r="H58" s="375"/>
    </row>
    <row r="59" spans="2:8">
      <c r="C59" s="139"/>
      <c r="E59" s="139"/>
    </row>
    <row r="60" spans="2:8" ht="25.15" thickBot="1">
      <c r="B60" s="133" t="s">
        <v>310</v>
      </c>
      <c r="C60" s="133"/>
      <c r="D60" s="133"/>
      <c r="E60" s="133"/>
      <c r="F60" s="133"/>
      <c r="G60" s="133"/>
      <c r="H60" s="133"/>
    </row>
    <row r="61" spans="2:8">
      <c r="B61" s="155"/>
      <c r="C61" s="156" t="s">
        <v>67</v>
      </c>
      <c r="D61" s="156" t="s">
        <v>280</v>
      </c>
      <c r="E61" s="178"/>
      <c r="F61" s="156" t="s">
        <v>281</v>
      </c>
      <c r="G61" s="157" t="s">
        <v>255</v>
      </c>
      <c r="H61" s="157"/>
    </row>
    <row r="62" spans="2:8" ht="17.45">
      <c r="B62" s="138" t="s">
        <v>186</v>
      </c>
      <c r="C62" s="138"/>
      <c r="D62" s="138"/>
      <c r="E62" s="174"/>
      <c r="F62" s="138"/>
      <c r="G62" s="138"/>
      <c r="H62" s="138"/>
    </row>
    <row r="63" spans="2:8" ht="16.149999999999999">
      <c r="B63" s="148" t="s">
        <v>311</v>
      </c>
      <c r="C63" s="148"/>
      <c r="D63" s="163">
        <v>37.758862521561404</v>
      </c>
      <c r="E63" s="180" t="s">
        <v>312</v>
      </c>
      <c r="F63" s="163">
        <v>37.758862521561404</v>
      </c>
      <c r="G63" s="375"/>
      <c r="H63" s="375"/>
    </row>
    <row r="64" spans="2:8">
      <c r="B64" s="148" t="s">
        <v>313</v>
      </c>
      <c r="C64" s="148"/>
      <c r="D64" s="163">
        <v>4.6165738018737921</v>
      </c>
      <c r="E64" s="180" t="s">
        <v>312</v>
      </c>
      <c r="F64" s="163">
        <v>4.6165738018737921</v>
      </c>
      <c r="G64" s="375"/>
      <c r="H64" s="375"/>
    </row>
    <row r="65" spans="2:8">
      <c r="B65" s="148" t="s">
        <v>314</v>
      </c>
      <c r="C65" s="148"/>
      <c r="D65" s="163">
        <v>4.2475805117737817</v>
      </c>
      <c r="E65" s="180" t="s">
        <v>312</v>
      </c>
      <c r="F65" s="163">
        <v>4.2475805117737817</v>
      </c>
      <c r="G65" s="375"/>
      <c r="H65" s="375"/>
    </row>
    <row r="66" spans="2:8">
      <c r="E66" s="139"/>
    </row>
    <row r="68" spans="2:8" ht="25.15" thickBot="1">
      <c r="B68" s="133" t="s">
        <v>315</v>
      </c>
      <c r="C68" s="133"/>
      <c r="D68" s="133"/>
      <c r="E68" s="133"/>
      <c r="F68" s="133"/>
      <c r="G68" s="133"/>
      <c r="H68" s="133"/>
    </row>
    <row r="70" spans="2:8" ht="17.45">
      <c r="B70" s="138" t="s">
        <v>177</v>
      </c>
      <c r="C70" s="138"/>
      <c r="D70" s="138"/>
      <c r="E70" s="138"/>
      <c r="F70" s="138"/>
      <c r="G70" s="138"/>
    </row>
    <row r="71" spans="2:8">
      <c r="D71" s="374" t="s">
        <v>316</v>
      </c>
      <c r="E71" s="374"/>
      <c r="F71" s="374"/>
      <c r="G71" s="374"/>
    </row>
    <row r="72" spans="2:8" ht="60" customHeight="1">
      <c r="C72" s="233" t="s">
        <v>317</v>
      </c>
      <c r="D72" s="164" t="s">
        <v>318</v>
      </c>
      <c r="E72" s="164" t="s">
        <v>319</v>
      </c>
      <c r="F72" s="164" t="s">
        <v>320</v>
      </c>
    </row>
    <row r="73" spans="2:8">
      <c r="C73" s="165" t="s">
        <v>190</v>
      </c>
      <c r="D73" s="110">
        <v>5250000</v>
      </c>
      <c r="E73" s="110">
        <v>4990000</v>
      </c>
      <c r="F73" s="171">
        <v>7.1542999999999995E-2</v>
      </c>
    </row>
    <row r="74" spans="2:8">
      <c r="C74" s="139" t="s">
        <v>194</v>
      </c>
      <c r="D74" s="111">
        <v>5830000</v>
      </c>
      <c r="E74" s="111">
        <v>5530000</v>
      </c>
      <c r="F74" s="172">
        <v>7.4442999999999995E-2</v>
      </c>
    </row>
    <row r="75" spans="2:8">
      <c r="C75" s="139" t="s">
        <v>198</v>
      </c>
      <c r="D75" s="111">
        <v>5670000</v>
      </c>
      <c r="E75" s="111">
        <v>5390000</v>
      </c>
      <c r="F75" s="172">
        <v>7.2442999999999994E-2</v>
      </c>
    </row>
    <row r="76" spans="2:8">
      <c r="C76" s="139" t="s">
        <v>201</v>
      </c>
      <c r="D76" s="111">
        <v>6290000</v>
      </c>
      <c r="E76" s="111">
        <v>5970000</v>
      </c>
      <c r="F76" s="172">
        <v>7.5243000000000004E-2</v>
      </c>
    </row>
    <row r="77" spans="2:8">
      <c r="C77" s="166" t="s">
        <v>249</v>
      </c>
      <c r="D77" s="112">
        <v>5800000</v>
      </c>
      <c r="E77" s="112">
        <v>5510000</v>
      </c>
      <c r="F77" s="173">
        <v>7.4743000000000004E-2</v>
      </c>
    </row>
    <row r="78" spans="2:8">
      <c r="C78" s="376" t="s">
        <v>321</v>
      </c>
      <c r="D78" s="376"/>
      <c r="E78" s="376"/>
      <c r="F78" s="376"/>
    </row>
    <row r="79" spans="2:8" ht="16.149999999999999">
      <c r="C79" s="139" t="s">
        <v>322</v>
      </c>
    </row>
    <row r="80" spans="2:8">
      <c r="C80" s="139"/>
    </row>
    <row r="81" spans="2:9">
      <c r="C81" s="139"/>
      <c r="D81" s="374" t="s">
        <v>323</v>
      </c>
      <c r="E81" s="374"/>
      <c r="F81" s="374"/>
      <c r="G81" s="374"/>
    </row>
    <row r="82" spans="2:9" ht="44.45">
      <c r="C82" s="233" t="s">
        <v>317</v>
      </c>
      <c r="D82" s="164" t="s">
        <v>324</v>
      </c>
      <c r="E82" s="164" t="s">
        <v>325</v>
      </c>
      <c r="F82" s="164" t="s">
        <v>326</v>
      </c>
    </row>
    <row r="83" spans="2:9">
      <c r="C83" s="165" t="s">
        <v>190</v>
      </c>
      <c r="D83" s="110">
        <v>5250000</v>
      </c>
      <c r="E83" s="110">
        <v>4990000</v>
      </c>
      <c r="F83" s="171">
        <v>7.1542999999999995E-2</v>
      </c>
    </row>
    <row r="84" spans="2:9">
      <c r="C84" s="139" t="s">
        <v>194</v>
      </c>
      <c r="D84" s="111">
        <v>5830000</v>
      </c>
      <c r="E84" s="111">
        <v>5530000</v>
      </c>
      <c r="F84" s="172">
        <v>7.4442999999999995E-2</v>
      </c>
    </row>
    <row r="85" spans="2:9">
      <c r="C85" s="139" t="s">
        <v>198</v>
      </c>
      <c r="D85" s="111">
        <v>5670000</v>
      </c>
      <c r="E85" s="111">
        <v>5390000</v>
      </c>
      <c r="F85" s="172">
        <v>7.2442999999999994E-2</v>
      </c>
    </row>
    <row r="86" spans="2:9">
      <c r="C86" s="139" t="s">
        <v>201</v>
      </c>
      <c r="D86" s="111">
        <v>6290000</v>
      </c>
      <c r="E86" s="111">
        <v>5970000</v>
      </c>
      <c r="F86" s="172">
        <v>7.5243000000000004E-2</v>
      </c>
    </row>
    <row r="87" spans="2:9">
      <c r="C87" s="166" t="s">
        <v>249</v>
      </c>
      <c r="D87" s="112">
        <v>5800000</v>
      </c>
      <c r="E87" s="112">
        <v>5510000</v>
      </c>
      <c r="F87" s="173">
        <v>7.4743000000000004E-2</v>
      </c>
    </row>
    <row r="88" spans="2:9">
      <c r="C88" s="167" t="s">
        <v>327</v>
      </c>
      <c r="D88" s="224"/>
      <c r="E88" s="224"/>
      <c r="F88" s="224"/>
      <c r="G88" s="224"/>
    </row>
    <row r="89" spans="2:9">
      <c r="D89" s="224"/>
      <c r="E89" s="224"/>
      <c r="F89" s="224"/>
      <c r="G89" s="224"/>
    </row>
    <row r="90" spans="2:9">
      <c r="D90" s="224"/>
      <c r="E90" s="224"/>
      <c r="F90" s="224"/>
      <c r="G90" s="224"/>
    </row>
    <row r="91" spans="2:9" ht="25.15" thickBot="1">
      <c r="B91" s="133" t="s">
        <v>328</v>
      </c>
      <c r="C91" s="133"/>
      <c r="D91" s="133"/>
      <c r="E91" s="133"/>
      <c r="F91" s="133"/>
      <c r="G91" s="133"/>
      <c r="H91" s="133"/>
      <c r="I91" s="133"/>
    </row>
    <row r="92" spans="2:9">
      <c r="B92" s="247"/>
      <c r="C92" s="247"/>
      <c r="D92" s="247"/>
      <c r="E92" s="247"/>
      <c r="F92" s="247"/>
      <c r="G92" s="247"/>
      <c r="H92" s="247"/>
      <c r="I92" s="247"/>
    </row>
    <row r="93" spans="2:9" ht="43.15">
      <c r="B93" s="247"/>
      <c r="C93" s="233" t="s">
        <v>329</v>
      </c>
      <c r="D93" s="164" t="s">
        <v>330</v>
      </c>
      <c r="E93" s="164" t="s">
        <v>331</v>
      </c>
      <c r="F93" s="164" t="s">
        <v>332</v>
      </c>
      <c r="G93" s="164" t="s">
        <v>333</v>
      </c>
      <c r="H93" s="234" t="s">
        <v>334</v>
      </c>
      <c r="I93" s="247"/>
    </row>
    <row r="94" spans="2:9">
      <c r="B94" s="247"/>
      <c r="C94" s="247" t="s">
        <v>335</v>
      </c>
      <c r="D94" s="197">
        <v>0.42</v>
      </c>
      <c r="E94" s="194">
        <v>2920000</v>
      </c>
      <c r="F94" s="83">
        <f>D94*E94</f>
        <v>1226400</v>
      </c>
      <c r="G94" s="196">
        <v>2770000</v>
      </c>
      <c r="H94" s="76">
        <f>G94*D94</f>
        <v>1163400</v>
      </c>
      <c r="I94" s="247"/>
    </row>
    <row r="95" spans="2:9">
      <c r="B95" s="247"/>
      <c r="C95" s="247" t="s">
        <v>336</v>
      </c>
      <c r="D95" s="197">
        <v>0.28000000000000003</v>
      </c>
      <c r="E95" s="194">
        <v>3820000</v>
      </c>
      <c r="F95" s="83">
        <f>D95*E95</f>
        <v>1069600</v>
      </c>
      <c r="G95" s="196">
        <v>3630000</v>
      </c>
      <c r="H95" s="76">
        <f>G95*D95</f>
        <v>1016400.0000000001</v>
      </c>
      <c r="I95" s="247"/>
    </row>
    <row r="96" spans="2:9">
      <c r="B96" s="247"/>
      <c r="C96" s="247" t="s">
        <v>337</v>
      </c>
      <c r="D96" s="197">
        <v>0.08</v>
      </c>
      <c r="E96" s="194">
        <v>4330000</v>
      </c>
      <c r="F96" s="83">
        <f>D96*E96</f>
        <v>346400</v>
      </c>
      <c r="G96" s="196">
        <v>4110000</v>
      </c>
      <c r="H96" s="76">
        <f>G96*D96</f>
        <v>328800</v>
      </c>
      <c r="I96" s="247"/>
    </row>
    <row r="97" spans="2:9">
      <c r="B97" s="247"/>
      <c r="C97" s="247" t="s">
        <v>338</v>
      </c>
      <c r="D97" s="197">
        <v>0.09</v>
      </c>
      <c r="E97" s="194">
        <v>4160000</v>
      </c>
      <c r="F97" s="83">
        <f>D97*E97</f>
        <v>374400</v>
      </c>
      <c r="G97" s="196">
        <v>3950000</v>
      </c>
      <c r="H97" s="76">
        <f>G97*D97</f>
        <v>355500</v>
      </c>
      <c r="I97" s="247"/>
    </row>
    <row r="98" spans="2:9">
      <c r="B98" s="247"/>
      <c r="C98" s="287" t="s">
        <v>339</v>
      </c>
      <c r="D98" s="198">
        <v>0.13</v>
      </c>
      <c r="E98" s="195">
        <v>4620000</v>
      </c>
      <c r="F98" s="84">
        <f>D98*E98</f>
        <v>600600</v>
      </c>
      <c r="G98" s="195">
        <v>4390000</v>
      </c>
      <c r="H98" s="84">
        <f>G98*D98</f>
        <v>570700</v>
      </c>
      <c r="I98" s="247"/>
    </row>
    <row r="99" spans="2:9">
      <c r="B99" s="247"/>
      <c r="C99" s="247" t="s">
        <v>340</v>
      </c>
      <c r="D99" s="247"/>
      <c r="E99" s="247"/>
      <c r="F99" s="83">
        <f>SUM(F94:F98)</f>
        <v>3617400</v>
      </c>
      <c r="G99" s="247"/>
      <c r="H99" s="76">
        <f>SUM(H94:H98)</f>
        <v>3434800</v>
      </c>
      <c r="I99" s="247"/>
    </row>
    <row r="100" spans="2:9">
      <c r="B100" s="247"/>
      <c r="C100" s="247"/>
      <c r="D100" s="247"/>
      <c r="E100" s="247"/>
      <c r="F100" s="247"/>
      <c r="G100" s="247"/>
      <c r="H100" s="247"/>
      <c r="I100" s="247"/>
    </row>
    <row r="101" spans="2:9">
      <c r="B101" s="247"/>
      <c r="C101" s="247"/>
      <c r="D101" s="247"/>
      <c r="E101" s="247"/>
      <c r="F101" s="247"/>
      <c r="G101" s="247"/>
      <c r="H101" s="247"/>
      <c r="I101" s="247"/>
    </row>
    <row r="102" spans="2:9">
      <c r="B102" s="247"/>
      <c r="C102" s="247"/>
      <c r="D102" s="247"/>
      <c r="E102" s="247"/>
      <c r="F102" s="247"/>
      <c r="G102" s="247"/>
      <c r="H102" s="247"/>
      <c r="I102" s="247"/>
    </row>
    <row r="103" spans="2:9">
      <c r="B103" s="247"/>
      <c r="C103" s="247"/>
      <c r="D103" s="247"/>
      <c r="E103" s="247"/>
      <c r="F103" s="247"/>
      <c r="G103" s="247"/>
      <c r="H103" s="247"/>
      <c r="I103" s="247"/>
    </row>
    <row r="104" spans="2:9">
      <c r="B104" s="247"/>
      <c r="C104" s="247"/>
      <c r="D104" s="247"/>
      <c r="E104" s="247"/>
      <c r="F104" s="247"/>
      <c r="G104" s="247"/>
      <c r="H104" s="247"/>
      <c r="I104" s="247"/>
    </row>
    <row r="105" spans="2:9">
      <c r="B105" s="247"/>
      <c r="C105" s="247"/>
      <c r="D105" s="247"/>
      <c r="E105" s="247"/>
      <c r="F105" s="247"/>
      <c r="G105" s="247"/>
      <c r="H105" s="247"/>
      <c r="I105" s="247"/>
    </row>
  </sheetData>
  <sheetProtection selectLockedCells="1"/>
  <mergeCells count="33">
    <mergeCell ref="G19:H19"/>
    <mergeCell ref="G47:H47"/>
    <mergeCell ref="G23:H23"/>
    <mergeCell ref="G26:H26"/>
    <mergeCell ref="G34:H34"/>
    <mergeCell ref="G35:H35"/>
    <mergeCell ref="G36:H36"/>
    <mergeCell ref="G41:H41"/>
    <mergeCell ref="G40:H40"/>
    <mergeCell ref="G20:H20"/>
    <mergeCell ref="G22:H22"/>
    <mergeCell ref="G42:H42"/>
    <mergeCell ref="G43:H43"/>
    <mergeCell ref="G44:H44"/>
    <mergeCell ref="G10:H10"/>
    <mergeCell ref="G11:H11"/>
    <mergeCell ref="G15:H15"/>
    <mergeCell ref="G16:H16"/>
    <mergeCell ref="G17:H17"/>
    <mergeCell ref="G13:H13"/>
    <mergeCell ref="D81:G81"/>
    <mergeCell ref="G64:H64"/>
    <mergeCell ref="G56:H56"/>
    <mergeCell ref="G57:H57"/>
    <mergeCell ref="G58:H58"/>
    <mergeCell ref="G63:H63"/>
    <mergeCell ref="G65:H65"/>
    <mergeCell ref="C78:F78"/>
    <mergeCell ref="G48:H48"/>
    <mergeCell ref="G51:H51"/>
    <mergeCell ref="G52:H52"/>
    <mergeCell ref="G53:H53"/>
    <mergeCell ref="D71:G71"/>
  </mergeCells>
  <phoneticPr fontId="5" type="noConversion"/>
  <hyperlinks>
    <hyperlink ref="E15" r:id="rId1" display="Source:  EIA Factor Based on Average Value Delivered to Consumers, https://www.eia.gov/energyexplained/units-and-calculators/energy-conversion-calculators.php" xr:uid="{B882E89A-7599-4632-BBD2-657148E1DBC0}"/>
    <hyperlink ref="E51" r:id="rId2" display="Source: 2030 value for Natural Gas and SMR, 1700km, https://hydrogencouncil.com/wp-content/uploads/2021/01/Hydrogen-Council-Report_Decarbonization-Pathways_Part-1-Lifecycle-Assessment.pdf" xr:uid="{B6D6E986-4BB3-46C1-BDE0-CE9430BD30F3}"/>
    <hyperlink ref="E52" r:id="rId3" display="Source: 2030 value for Natural Gas with SMR and 90% CCUS capture, 1700km, https://hydrogencouncil.com/wp-content/uploads/2021/01/Hydrogen-Council-Report_Decarbonization-Pathways_Part-1-Lifecycle-Assessment.pdf" xr:uid="{7C25B397-A107-4289-94A4-E021EC54BEDF}"/>
    <hyperlink ref="E53" r:id="rId4" display="Source: 2030 value for Renewable Electrolysis with Wind Power, https://hydrogencouncil.com/wp-content/uploads/2021/01/Hydrogen-Council-Report_Decarbonization-Pathways_Part-1-Lifecycle-Assessment.pdf" xr:uid="{7E7381E7-69C6-44A2-B20B-84D3B72F0E84}"/>
    <hyperlink ref="E56" r:id="rId5" display="https://www.nrel.gov/docs/fy21osti/80580.pdf" xr:uid="{8809C34B-B320-44E4-9E04-B4A0661563C3}"/>
    <hyperlink ref="E57" r:id="rId6" display="https://www.nrel.gov/docs/fy21osti/80580.pdf" xr:uid="{921AE6FC-6C9A-4229-9166-9434B4474B12}"/>
    <hyperlink ref="E58" r:id="rId7" display="https://www.nrel.gov/docs/fy21osti/80580.pdf" xr:uid="{1C7B18D3-82FD-47EC-986F-DFF5FC086581}"/>
    <hyperlink ref="E11" r:id="rId8" xr:uid="{A9B958EE-C5DA-4954-B521-C7E8DF0182DB}"/>
    <hyperlink ref="E13" r:id="rId9" display="https://www.eia.gov/energyexplained/oil-and-petroleum-products/refining-crude-oil-inputs-and-outputs.php" xr:uid="{293D4A84-B135-4914-A423-D056AE2EF01F}"/>
  </hyperlinks>
  <pageMargins left="0.7" right="0.7" top="0.75" bottom="0.75" header="0.3" footer="0.3"/>
  <pageSetup orientation="portrait" r:id="rId10"/>
  <drawing r:id="rId11"/>
  <legacyDrawing r:id="rId12"/>
  <mc:AlternateContent xmlns:mc="http://schemas.openxmlformats.org/markup-compatibility/2006">
    <mc:Choice Requires="x14">
      <controls>
        <mc:AlternateContent xmlns:mc="http://schemas.openxmlformats.org/markup-compatibility/2006">
          <mc:Choice Requires="x14">
            <control shapeId="35877" r:id="rId13" name="Check Box 37">
              <controlPr defaultSize="0" autoFill="0" autoLine="0" autoPict="0">
                <anchor moveWithCells="1">
                  <from>
                    <xdr:col>1</xdr:col>
                    <xdr:colOff>30480</xdr:colOff>
                    <xdr:row>2</xdr:row>
                    <xdr:rowOff>0</xdr:rowOff>
                  </from>
                  <to>
                    <xdr:col>1</xdr:col>
                    <xdr:colOff>274320</xdr:colOff>
                    <xdr:row>3</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 operator="containsText" id="{985CFFDE-FD32-4B5B-A9C7-CEA1E0A26BB7}">
            <xm:f>NOT(ISERROR(SEARCH("- Active",F8)))</xm:f>
            <xm:f>"- Active"</xm:f>
            <x14:dxf>
              <fill>
                <patternFill>
                  <bgColor theme="5" tint="0.39994506668294322"/>
                </patternFill>
              </fill>
            </x14:dxf>
          </x14:cfRule>
          <xm:sqref>F8</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Q111"/>
  <sheetViews>
    <sheetView showGridLines="0" zoomScale="70" zoomScaleNormal="70" zoomScaleSheetLayoutView="50" workbookViewId="0">
      <pane ySplit="1" topLeftCell="A2" activePane="bottomLeft" state="frozen"/>
      <selection pane="bottomLeft" activeCell="A2" sqref="A2"/>
      <selection activeCell="B16" sqref="B16"/>
    </sheetView>
  </sheetViews>
  <sheetFormatPr defaultColWidth="0" defaultRowHeight="13.15"/>
  <cols>
    <col min="1" max="1" width="9.140625" style="17" customWidth="1"/>
    <col min="2" max="2" width="55.85546875" style="17" customWidth="1"/>
    <col min="3" max="3" width="26" style="17" customWidth="1"/>
    <col min="4" max="4" width="22.140625" style="17" customWidth="1"/>
    <col min="5" max="5" width="24.140625" style="17" customWidth="1"/>
    <col min="6" max="6" width="24" style="17" customWidth="1"/>
    <col min="7" max="7" width="25.85546875" style="17" customWidth="1"/>
    <col min="8" max="8" width="27.140625" style="17" customWidth="1"/>
    <col min="9" max="9" width="18.85546875" style="17" customWidth="1"/>
    <col min="10" max="11" width="18.140625" style="17" customWidth="1"/>
    <col min="12" max="12" width="2.5703125" style="17" customWidth="1"/>
    <col min="13" max="13" width="17" style="17" customWidth="1"/>
    <col min="14" max="16" width="18.140625" style="17" customWidth="1"/>
    <col min="17" max="17" width="20.140625" style="17" customWidth="1"/>
    <col min="18" max="16384" width="9.140625" style="17" hidden="1"/>
  </cols>
  <sheetData>
    <row r="1" spans="2:16" ht="99.75" customHeight="1">
      <c r="B1" s="247"/>
      <c r="C1" s="247"/>
      <c r="D1" s="247"/>
      <c r="E1" s="247"/>
      <c r="F1" s="247"/>
      <c r="G1" s="247"/>
      <c r="H1" s="247"/>
      <c r="I1" s="247"/>
      <c r="J1" s="247"/>
      <c r="K1" s="247"/>
      <c r="L1" s="247"/>
      <c r="M1" s="247"/>
      <c r="N1" s="247"/>
      <c r="O1" s="247"/>
      <c r="P1" s="247"/>
    </row>
    <row r="2" spans="2:16" ht="24.6">
      <c r="B2" s="24" t="s">
        <v>341</v>
      </c>
      <c r="C2" s="247"/>
      <c r="D2" s="247"/>
      <c r="E2" s="247"/>
      <c r="F2" s="247"/>
      <c r="G2" s="247"/>
      <c r="H2" s="247"/>
      <c r="I2" s="247"/>
      <c r="J2" s="247"/>
      <c r="K2" s="247"/>
      <c r="L2" s="247"/>
      <c r="M2" s="247"/>
      <c r="N2" s="247"/>
      <c r="O2" s="247"/>
      <c r="P2" s="247"/>
    </row>
    <row r="3" spans="2:16">
      <c r="B3" s="45" t="s">
        <v>252</v>
      </c>
      <c r="C3" s="247"/>
      <c r="D3" s="247"/>
      <c r="E3" s="247"/>
      <c r="F3" s="247"/>
      <c r="G3" s="247"/>
      <c r="H3" s="247"/>
      <c r="I3" s="247"/>
      <c r="J3" s="247"/>
      <c r="K3" s="247"/>
      <c r="L3" s="247"/>
      <c r="M3" s="247"/>
      <c r="N3" s="247"/>
      <c r="O3" s="247"/>
      <c r="P3" s="247"/>
    </row>
    <row r="5" spans="2:16" ht="13.9" thickBot="1">
      <c r="B5" s="66" t="s">
        <v>342</v>
      </c>
      <c r="C5" s="66"/>
      <c r="D5" s="66" t="s">
        <v>343</v>
      </c>
      <c r="E5" s="66"/>
      <c r="F5" s="66"/>
      <c r="G5" s="66"/>
      <c r="H5" s="66"/>
      <c r="I5" s="66"/>
      <c r="J5" s="66"/>
      <c r="K5" s="66"/>
      <c r="L5" s="66"/>
      <c r="M5" s="66"/>
      <c r="N5" s="66"/>
      <c r="O5" s="66"/>
      <c r="P5" s="66"/>
    </row>
    <row r="6" spans="2:16">
      <c r="B6" s="284" t="s">
        <v>163</v>
      </c>
      <c r="C6" s="295">
        <f>D108/1000000</f>
        <v>5.4342790393256566</v>
      </c>
      <c r="D6" s="43" t="s">
        <v>344</v>
      </c>
      <c r="E6" s="247"/>
      <c r="F6" s="247"/>
      <c r="G6" s="247"/>
      <c r="H6" s="247"/>
      <c r="I6" s="247"/>
      <c r="J6" s="247"/>
      <c r="K6" s="247"/>
      <c r="L6" s="247"/>
      <c r="M6" s="247"/>
      <c r="N6" s="247"/>
      <c r="O6" s="247"/>
      <c r="P6" s="247"/>
    </row>
    <row r="7" spans="2:16" ht="15.6">
      <c r="B7" s="296" t="s">
        <v>345</v>
      </c>
      <c r="C7" s="297">
        <f>K108</f>
        <v>445.50301598344089</v>
      </c>
      <c r="D7" s="43" t="s">
        <v>346</v>
      </c>
      <c r="E7" s="247"/>
      <c r="F7" s="247"/>
      <c r="G7" s="247"/>
      <c r="H7" s="247"/>
      <c r="I7" s="247"/>
      <c r="J7" s="247"/>
      <c r="K7" s="247"/>
      <c r="L7" s="247"/>
      <c r="M7" s="247"/>
      <c r="N7" s="247"/>
      <c r="O7" s="247"/>
      <c r="P7" s="247"/>
    </row>
    <row r="8" spans="2:16">
      <c r="B8" s="49" t="s">
        <v>347</v>
      </c>
      <c r="C8" s="50">
        <f>IF(C6&gt;0,C7/C6)</f>
        <v>81.980150956459468</v>
      </c>
      <c r="D8" s="43" t="s">
        <v>348</v>
      </c>
      <c r="E8" s="247"/>
      <c r="F8" s="247"/>
      <c r="G8" s="247"/>
      <c r="H8" s="247"/>
      <c r="I8" s="247"/>
      <c r="J8" s="247"/>
      <c r="K8" s="247"/>
      <c r="L8" s="247"/>
      <c r="M8" s="247"/>
      <c r="N8" s="247"/>
      <c r="O8" s="247"/>
      <c r="P8" s="247"/>
    </row>
    <row r="10" spans="2:16">
      <c r="B10" s="60" t="s">
        <v>349</v>
      </c>
      <c r="C10" s="61"/>
      <c r="D10" s="60"/>
      <c r="E10" s="60"/>
      <c r="F10" s="60"/>
      <c r="G10" s="60"/>
      <c r="H10" s="60"/>
      <c r="I10" s="60"/>
      <c r="J10" s="60"/>
      <c r="K10" s="60"/>
      <c r="L10" s="60"/>
      <c r="M10" s="60"/>
      <c r="N10" s="60"/>
      <c r="O10" s="60"/>
      <c r="P10" s="60"/>
    </row>
    <row r="11" spans="2:16">
      <c r="B11" s="73" t="s">
        <v>350</v>
      </c>
      <c r="C11" s="72" t="s">
        <v>159</v>
      </c>
      <c r="D11" s="73" t="s">
        <v>343</v>
      </c>
      <c r="E11" s="298"/>
      <c r="F11" s="298"/>
      <c r="G11" s="298"/>
      <c r="H11" s="298"/>
      <c r="I11" s="298"/>
      <c r="J11" s="298"/>
      <c r="K11" s="298"/>
      <c r="L11" s="298"/>
      <c r="M11" s="298"/>
      <c r="N11" s="298"/>
      <c r="O11" s="298"/>
      <c r="P11" s="298"/>
    </row>
    <row r="12" spans="2:16">
      <c r="B12" s="299" t="str">
        <f>Dashboard!B9</f>
        <v>Net Crude Oil and Natural Gas Liquids Production</v>
      </c>
      <c r="C12" s="27">
        <f>Dashboard!C9</f>
        <v>1719</v>
      </c>
      <c r="D12" s="43" t="s">
        <v>351</v>
      </c>
      <c r="E12" s="247"/>
      <c r="F12" s="247"/>
      <c r="G12" s="247"/>
      <c r="H12" s="247"/>
      <c r="I12" s="247"/>
      <c r="J12" s="247"/>
      <c r="K12" s="247"/>
      <c r="L12" s="247"/>
      <c r="M12" s="247"/>
      <c r="N12" s="247"/>
      <c r="O12" s="247"/>
      <c r="P12" s="247"/>
    </row>
    <row r="13" spans="2:16">
      <c r="B13" s="300" t="str">
        <f>Dashboard!B25</f>
        <v>Upstream Natural Gas Liquids</v>
      </c>
      <c r="C13" s="44">
        <f>Dashboard!C25</f>
        <v>383</v>
      </c>
      <c r="D13" s="208" t="s">
        <v>351</v>
      </c>
      <c r="E13" s="287"/>
      <c r="F13" s="287"/>
      <c r="G13" s="247"/>
      <c r="H13" s="247"/>
      <c r="I13" s="247"/>
      <c r="J13" s="247"/>
      <c r="K13" s="247"/>
      <c r="L13" s="247"/>
      <c r="M13" s="247"/>
      <c r="N13" s="247"/>
      <c r="O13" s="247"/>
      <c r="P13" s="247"/>
    </row>
    <row r="14" spans="2:16">
      <c r="B14" s="284" t="s">
        <v>352</v>
      </c>
      <c r="C14" s="301">
        <f>MAX(C12-C13,0)</f>
        <v>1336</v>
      </c>
      <c r="D14" s="43" t="s">
        <v>353</v>
      </c>
      <c r="E14" s="247"/>
      <c r="F14" s="247"/>
      <c r="G14" s="247"/>
      <c r="H14" s="247"/>
      <c r="I14" s="247"/>
      <c r="J14" s="247"/>
      <c r="K14" s="247"/>
      <c r="L14" s="247"/>
      <c r="M14" s="247"/>
      <c r="N14" s="247"/>
      <c r="O14" s="247"/>
      <c r="P14" s="247"/>
    </row>
    <row r="15" spans="2:16" ht="5.0999999999999996" customHeight="1">
      <c r="B15" s="284"/>
      <c r="C15" s="301"/>
      <c r="D15" s="247"/>
      <c r="E15" s="247"/>
      <c r="F15" s="247"/>
      <c r="G15" s="247"/>
      <c r="H15" s="247"/>
      <c r="I15" s="247"/>
      <c r="J15" s="247"/>
      <c r="K15" s="247"/>
      <c r="L15" s="247"/>
      <c r="M15" s="247"/>
      <c r="N15" s="247"/>
      <c r="O15" s="247"/>
      <c r="P15" s="247"/>
    </row>
    <row r="16" spans="2:16">
      <c r="B16" s="284" t="str">
        <f>Dashboard!B15</f>
        <v xml:space="preserve">Refinery Crude Oil Input </v>
      </c>
      <c r="C16" s="27">
        <f>Dashboard!C15</f>
        <v>1504</v>
      </c>
      <c r="D16" s="43" t="s">
        <v>351</v>
      </c>
      <c r="E16" s="247"/>
      <c r="F16" s="247"/>
      <c r="G16" s="247"/>
      <c r="H16" s="247"/>
      <c r="I16" s="247"/>
      <c r="J16" s="247"/>
      <c r="K16" s="247"/>
      <c r="L16" s="247"/>
      <c r="M16" s="247"/>
      <c r="N16" s="247"/>
      <c r="O16" s="247"/>
      <c r="P16" s="247"/>
    </row>
    <row r="17" spans="2:16" ht="5.0999999999999996" customHeight="1">
      <c r="B17" s="284"/>
      <c r="C17" s="27"/>
      <c r="D17" s="43"/>
      <c r="E17" s="247"/>
      <c r="F17" s="247"/>
      <c r="G17" s="247"/>
      <c r="H17" s="247"/>
      <c r="I17" s="247"/>
      <c r="J17" s="247"/>
      <c r="K17" s="247"/>
      <c r="L17" s="247"/>
      <c r="M17" s="247"/>
      <c r="N17" s="247"/>
      <c r="O17" s="247"/>
      <c r="P17" s="247"/>
    </row>
    <row r="18" spans="2:16">
      <c r="B18" s="284" t="str">
        <f>"Marketed Refined Products "&amp;IF(' Alt Calc - Refined Products'!F2=TRUE,"(From Alternate Calculation)","")</f>
        <v xml:space="preserve">Marketed Refined Products </v>
      </c>
      <c r="C18" s="27">
        <f>IF(' Alt Calc - Refined Products'!F2=TRUE,SUM(' Alt Calc - Refined Products'!D11:D15),SUM(Dashboard!C18:C22))</f>
        <v>2614</v>
      </c>
      <c r="D18" s="43" t="s">
        <v>354</v>
      </c>
      <c r="E18" s="247"/>
      <c r="F18" s="247"/>
      <c r="G18" s="378" t="s">
        <v>355</v>
      </c>
      <c r="H18" s="378"/>
      <c r="I18" s="378"/>
      <c r="J18" s="378"/>
      <c r="K18" s="378"/>
      <c r="L18" s="247"/>
      <c r="M18" s="247"/>
      <c r="N18" s="247"/>
      <c r="O18" s="247"/>
      <c r="P18" s="247"/>
    </row>
    <row r="19" spans="2:16">
      <c r="B19" s="296" t="s">
        <v>356</v>
      </c>
      <c r="C19" s="44">
        <f>SUM(Dashboard!C29:C29)</f>
        <v>105</v>
      </c>
      <c r="D19" s="208" t="s">
        <v>351</v>
      </c>
      <c r="E19" s="302"/>
      <c r="F19" s="287"/>
      <c r="G19" s="247"/>
      <c r="H19" s="247"/>
      <c r="I19" s="247"/>
      <c r="J19" s="247"/>
      <c r="K19" s="247"/>
      <c r="L19" s="247"/>
      <c r="M19" s="247"/>
      <c r="N19" s="247"/>
      <c r="O19" s="247"/>
      <c r="P19" s="247"/>
    </row>
    <row r="20" spans="2:16">
      <c r="B20" s="284" t="s">
        <v>357</v>
      </c>
      <c r="C20" s="301">
        <f>MAX(C18-C19,0)</f>
        <v>2509</v>
      </c>
      <c r="D20" s="212" t="s">
        <v>358</v>
      </c>
      <c r="E20" s="303"/>
      <c r="F20" s="247"/>
      <c r="G20" s="247"/>
      <c r="H20" s="247"/>
      <c r="I20" s="247"/>
      <c r="J20" s="247"/>
      <c r="K20" s="247"/>
      <c r="L20" s="247"/>
      <c r="M20" s="247"/>
      <c r="N20" s="247"/>
      <c r="O20" s="247"/>
      <c r="P20" s="247"/>
    </row>
    <row r="21" spans="2:16">
      <c r="B21" s="247"/>
      <c r="C21" s="304"/>
      <c r="D21" s="303"/>
      <c r="E21" s="303"/>
      <c r="F21" s="305"/>
      <c r="G21" s="247"/>
      <c r="H21" s="247"/>
      <c r="I21" s="247"/>
      <c r="J21" s="247"/>
      <c r="K21" s="247"/>
      <c r="L21" s="247"/>
      <c r="M21" s="247"/>
      <c r="N21" s="247"/>
      <c r="O21" s="247"/>
      <c r="P21" s="247"/>
    </row>
    <row r="22" spans="2:16">
      <c r="B22" s="60" t="s">
        <v>359</v>
      </c>
      <c r="C22" s="60"/>
      <c r="D22" s="60"/>
      <c r="E22" s="60"/>
      <c r="F22" s="60"/>
      <c r="G22" s="60"/>
      <c r="H22" s="60"/>
      <c r="I22" s="60"/>
      <c r="J22" s="60"/>
      <c r="K22" s="60"/>
      <c r="L22" s="60"/>
      <c r="M22" s="60"/>
      <c r="N22" s="60"/>
      <c r="O22" s="60"/>
      <c r="P22" s="60"/>
    </row>
    <row r="23" spans="2:16">
      <c r="B23" s="73" t="s">
        <v>67</v>
      </c>
      <c r="C23" s="72" t="s">
        <v>360</v>
      </c>
      <c r="D23" s="73" t="s">
        <v>254</v>
      </c>
      <c r="E23" s="298"/>
      <c r="F23" s="298"/>
      <c r="G23" s="298"/>
      <c r="H23" s="298"/>
      <c r="I23" s="298"/>
      <c r="J23" s="298"/>
      <c r="K23" s="298"/>
      <c r="L23" s="298"/>
      <c r="M23" s="298"/>
      <c r="N23" s="298"/>
      <c r="O23" s="298"/>
      <c r="P23" s="298"/>
    </row>
    <row r="24" spans="2:16">
      <c r="B24" s="284" t="s">
        <v>261</v>
      </c>
      <c r="C24" s="41">
        <f>IF(Dashboard!$S$2=TRUE,Factors!D13,Factors!F13)</f>
        <v>1.0629999999999999</v>
      </c>
      <c r="D24" s="213" t="str">
        <f>IF(Dashboard!$S$2=TRUE,Factors!E13,Factors!G13)</f>
        <v>EIA average processing gain at U.S. refineries, 2022: https://www.eia.gov/energyexplained/oil-and-petroleum-products/refining-crude-oil-inputs-and-outputs.php</v>
      </c>
      <c r="E24" s="247"/>
      <c r="F24" s="247"/>
      <c r="G24" s="247"/>
      <c r="H24" s="247"/>
      <c r="I24" s="247"/>
      <c r="J24" s="247"/>
      <c r="K24" s="247"/>
      <c r="L24" s="247"/>
      <c r="M24" s="247"/>
      <c r="N24" s="247"/>
      <c r="O24" s="247"/>
      <c r="P24" s="247"/>
    </row>
    <row r="25" spans="2:16">
      <c r="B25" s="284" t="s">
        <v>361</v>
      </c>
      <c r="C25" s="40">
        <f>IF(Dashboard!$S$2=TRUE,Factors!D10,Factors!F10)</f>
        <v>365</v>
      </c>
      <c r="D25" s="217" t="str">
        <f>IF(Dashboard!$S$2=TRUE,Factors!E10,Factors!G10)</f>
        <v>Days in the year (non-leap year)</v>
      </c>
      <c r="E25" s="247"/>
      <c r="F25" s="247"/>
      <c r="G25" s="247"/>
      <c r="H25" s="247"/>
      <c r="I25" s="247"/>
      <c r="J25" s="247"/>
      <c r="K25" s="247"/>
      <c r="L25" s="247"/>
      <c r="M25" s="247"/>
      <c r="N25" s="247"/>
      <c r="O25" s="247"/>
      <c r="P25" s="247"/>
    </row>
    <row r="26" spans="2:16">
      <c r="B26" s="284" t="s">
        <v>259</v>
      </c>
      <c r="C26" s="40">
        <f>IF(Dashboard!$S$2=TRUE,Factors!D11,Factors!F11)</f>
        <v>947.81700000000001</v>
      </c>
      <c r="D26" s="213" t="str">
        <f>IF(Dashboard!$S$2=TRUE,Factors!E11,Factors!G11)</f>
        <v>Unit conversion</v>
      </c>
      <c r="E26" s="247"/>
      <c r="F26" s="247"/>
      <c r="G26" s="247"/>
      <c r="H26" s="247"/>
      <c r="I26" s="247"/>
      <c r="J26" s="247"/>
      <c r="K26" s="247"/>
      <c r="L26" s="247"/>
      <c r="M26" s="247"/>
      <c r="N26" s="247"/>
      <c r="O26" s="247"/>
      <c r="P26" s="247"/>
    </row>
    <row r="27" spans="2:16">
      <c r="B27" s="247"/>
      <c r="C27" s="271"/>
      <c r="D27" s="247"/>
      <c r="E27" s="247"/>
      <c r="F27" s="247"/>
      <c r="G27" s="247"/>
      <c r="H27" s="247"/>
      <c r="I27" s="247"/>
      <c r="J27" s="247"/>
      <c r="K27" s="247"/>
      <c r="L27" s="247"/>
      <c r="M27" s="247"/>
      <c r="N27" s="247"/>
      <c r="O27" s="247"/>
      <c r="P27" s="247"/>
    </row>
    <row r="28" spans="2:16">
      <c r="B28" s="60" t="s">
        <v>362</v>
      </c>
      <c r="C28" s="61" t="s">
        <v>159</v>
      </c>
      <c r="D28" s="60" t="s">
        <v>343</v>
      </c>
      <c r="E28" s="60"/>
      <c r="F28" s="60"/>
      <c r="G28" s="60"/>
      <c r="H28" s="60"/>
      <c r="I28" s="60"/>
      <c r="J28" s="60"/>
      <c r="K28" s="60"/>
      <c r="L28" s="60"/>
      <c r="M28" s="60"/>
      <c r="N28" s="60"/>
      <c r="O28" s="60"/>
      <c r="P28" s="60"/>
    </row>
    <row r="29" spans="2:16" s="65" customFormat="1" ht="26.45">
      <c r="B29" s="209" t="s">
        <v>363</v>
      </c>
      <c r="C29" s="62"/>
      <c r="D29" s="62"/>
      <c r="E29" s="62"/>
      <c r="F29" s="62"/>
      <c r="G29" s="62"/>
      <c r="H29" s="62"/>
      <c r="I29" s="62"/>
      <c r="J29" s="62"/>
      <c r="K29" s="62"/>
      <c r="L29" s="62"/>
      <c r="M29" s="62"/>
      <c r="N29" s="62"/>
      <c r="O29" s="62"/>
      <c r="P29" s="62"/>
    </row>
    <row r="30" spans="2:16">
      <c r="B30" s="284" t="s">
        <v>364</v>
      </c>
      <c r="C30" s="301">
        <f>MIN(C14,C16)*C24</f>
        <v>1420.1679999999999</v>
      </c>
      <c r="D30" s="42" t="s">
        <v>365</v>
      </c>
      <c r="E30" s="303"/>
      <c r="F30" s="305"/>
      <c r="G30" s="247"/>
      <c r="H30" s="247"/>
      <c r="I30" s="247"/>
      <c r="J30" s="247"/>
      <c r="K30" s="247"/>
      <c r="L30" s="247"/>
      <c r="M30" s="247"/>
      <c r="N30" s="247"/>
      <c r="O30" s="247"/>
      <c r="P30" s="247"/>
    </row>
    <row r="31" spans="2:16">
      <c r="B31" s="284" t="s">
        <v>366</v>
      </c>
      <c r="C31" s="301">
        <f>MAX(0,C16-C14)*C24</f>
        <v>178.584</v>
      </c>
      <c r="D31" s="42" t="s">
        <v>367</v>
      </c>
      <c r="E31" s="303"/>
      <c r="F31" s="305"/>
      <c r="G31" s="247"/>
      <c r="H31" s="247"/>
      <c r="I31" s="247"/>
      <c r="J31" s="247"/>
      <c r="K31" s="247"/>
      <c r="L31" s="247"/>
      <c r="M31" s="247"/>
      <c r="N31" s="247"/>
      <c r="O31" s="247"/>
      <c r="P31" s="247"/>
    </row>
    <row r="32" spans="2:16">
      <c r="B32" s="284" t="s">
        <v>368</v>
      </c>
      <c r="C32" s="301">
        <f>MAX(0,C14-C16)*C24</f>
        <v>0</v>
      </c>
      <c r="D32" s="42" t="s">
        <v>369</v>
      </c>
      <c r="E32" s="303"/>
      <c r="F32" s="305"/>
      <c r="G32" s="247"/>
      <c r="H32" s="247"/>
      <c r="I32" s="247"/>
      <c r="J32" s="247"/>
      <c r="K32" s="247"/>
      <c r="L32" s="247"/>
      <c r="M32" s="247"/>
      <c r="N32" s="247"/>
      <c r="O32" s="247"/>
      <c r="P32" s="247"/>
    </row>
    <row r="33" spans="2:16">
      <c r="B33" s="284" t="s">
        <v>370</v>
      </c>
      <c r="C33" s="301">
        <f>MAX(0,(C18-C19)-(C30+C31+C32))</f>
        <v>910.24800000000005</v>
      </c>
      <c r="D33" s="42" t="s">
        <v>371</v>
      </c>
      <c r="E33" s="303"/>
      <c r="F33" s="305"/>
      <c r="G33" s="247"/>
      <c r="H33" s="247"/>
      <c r="I33" s="247"/>
      <c r="J33" s="247"/>
      <c r="K33" s="247"/>
      <c r="L33" s="247"/>
      <c r="M33" s="247"/>
      <c r="N33" s="247"/>
      <c r="O33" s="247"/>
      <c r="P33" s="247"/>
    </row>
    <row r="34" spans="2:16">
      <c r="B34" s="247"/>
      <c r="C34" s="304"/>
      <c r="D34" s="303"/>
      <c r="E34" s="303"/>
      <c r="F34" s="305"/>
      <c r="G34" s="247"/>
      <c r="H34" s="247"/>
      <c r="I34" s="247"/>
      <c r="J34" s="247"/>
      <c r="K34" s="247"/>
      <c r="L34" s="247"/>
      <c r="M34" s="247"/>
      <c r="N34" s="247"/>
      <c r="O34" s="247"/>
      <c r="P34" s="247"/>
    </row>
    <row r="35" spans="2:16" ht="13.9" thickBot="1">
      <c r="B35" s="38" t="s">
        <v>372</v>
      </c>
      <c r="C35" s="61" t="s">
        <v>159</v>
      </c>
      <c r="D35" s="39" t="s">
        <v>373</v>
      </c>
      <c r="E35" s="38" t="s">
        <v>343</v>
      </c>
      <c r="F35" s="38"/>
      <c r="G35" s="38"/>
      <c r="H35" s="38"/>
      <c r="I35" s="38"/>
      <c r="J35" s="38"/>
      <c r="K35" s="38"/>
      <c r="L35" s="38"/>
      <c r="M35" s="38"/>
      <c r="N35" s="38"/>
      <c r="O35" s="38"/>
      <c r="P35" s="38"/>
    </row>
    <row r="36" spans="2:16">
      <c r="B36" s="284" t="s">
        <v>374</v>
      </c>
      <c r="C36" s="301">
        <f>C20</f>
        <v>2509</v>
      </c>
      <c r="D36" s="46">
        <f>C36/(C36+C37)</f>
        <v>1</v>
      </c>
      <c r="E36" s="42" t="s">
        <v>375</v>
      </c>
      <c r="F36" s="305"/>
      <c r="G36" s="247"/>
      <c r="H36" s="247"/>
      <c r="I36" s="247"/>
      <c r="J36" s="247"/>
      <c r="K36" s="247"/>
      <c r="L36" s="247"/>
      <c r="M36" s="247"/>
      <c r="N36" s="247"/>
      <c r="O36" s="247"/>
      <c r="P36" s="247"/>
    </row>
    <row r="37" spans="2:16">
      <c r="B37" s="284" t="s">
        <v>376</v>
      </c>
      <c r="C37" s="301">
        <f>MAX(0,(C30+C31+C32)-C36)</f>
        <v>0</v>
      </c>
      <c r="D37" s="46">
        <f>(C37/(C36+C37))</f>
        <v>0</v>
      </c>
      <c r="E37" s="42" t="s">
        <v>377</v>
      </c>
      <c r="F37" s="305"/>
      <c r="G37" s="247"/>
      <c r="H37" s="247"/>
      <c r="I37" s="247"/>
      <c r="J37" s="247"/>
      <c r="K37" s="247"/>
      <c r="L37" s="247"/>
      <c r="M37" s="247"/>
      <c r="N37" s="247"/>
      <c r="O37" s="247"/>
      <c r="P37" s="247"/>
    </row>
    <row r="38" spans="2:16">
      <c r="B38" s="247"/>
      <c r="C38" s="304"/>
      <c r="D38" s="303"/>
      <c r="E38" s="303"/>
      <c r="F38" s="305"/>
      <c r="G38" s="247"/>
      <c r="H38" s="247"/>
      <c r="I38" s="247"/>
      <c r="J38" s="247"/>
      <c r="K38" s="247"/>
      <c r="L38" s="247"/>
      <c r="M38" s="247"/>
      <c r="N38" s="247"/>
      <c r="O38" s="247"/>
      <c r="P38" s="247"/>
    </row>
    <row r="39" spans="2:16" ht="13.9" thickBot="1">
      <c r="B39" s="38" t="s">
        <v>378</v>
      </c>
      <c r="C39" s="38"/>
      <c r="D39" s="38"/>
      <c r="E39" s="38"/>
      <c r="F39" s="38"/>
      <c r="G39" s="38"/>
      <c r="H39" s="38"/>
      <c r="I39" s="38"/>
      <c r="J39" s="38"/>
      <c r="K39" s="38"/>
      <c r="L39" s="38"/>
      <c r="M39" s="38"/>
      <c r="N39" s="38"/>
      <c r="O39" s="38"/>
      <c r="P39" s="38"/>
    </row>
    <row r="40" spans="2:16" ht="40.35" customHeight="1">
      <c r="B40" s="48" t="s">
        <v>379</v>
      </c>
      <c r="C40" s="29" t="s">
        <v>159</v>
      </c>
      <c r="D40" s="57" t="s">
        <v>343</v>
      </c>
      <c r="E40" s="30"/>
      <c r="F40" s="30"/>
      <c r="G40" s="29" t="s">
        <v>380</v>
      </c>
      <c r="H40" s="57" t="s">
        <v>343</v>
      </c>
      <c r="I40" s="30"/>
      <c r="J40" s="30"/>
      <c r="K40" s="30"/>
      <c r="L40" s="30"/>
      <c r="M40" s="30"/>
      <c r="N40" s="30"/>
      <c r="O40" s="30"/>
      <c r="P40" s="30"/>
    </row>
    <row r="41" spans="2:16">
      <c r="B41" s="306" t="s">
        <v>190</v>
      </c>
      <c r="C41" s="242">
        <f>IF(' Alt Calc - Refined Products'!$F$2=TRUE,' Alt Calc - Refined Products'!D11,Dashboard!C18)</f>
        <v>975</v>
      </c>
      <c r="D41" s="43" t="str">
        <f>IF(' Alt Calc - Refined Products'!$F$2=TRUE,"Uses 'Refined Product - Alt Calc' tab product volume","Uses 'Dashboard' tab product volume")</f>
        <v>Uses 'Dashboard' tab product volume</v>
      </c>
      <c r="E41" s="247"/>
      <c r="F41" s="247"/>
      <c r="G41" s="51">
        <f>IF(SUM($C$41:$C$45)&gt;0,C41/SUM($C$41:$C$45),0)</f>
        <v>0.37299158377964803</v>
      </c>
      <c r="H41" s="43" t="s">
        <v>381</v>
      </c>
      <c r="I41" s="247"/>
      <c r="J41" s="247"/>
      <c r="K41" s="247"/>
      <c r="L41" s="247"/>
      <c r="M41" s="247"/>
      <c r="N41" s="247"/>
      <c r="O41" s="247"/>
      <c r="P41" s="247"/>
    </row>
    <row r="42" spans="2:16">
      <c r="B42" s="284" t="s">
        <v>194</v>
      </c>
      <c r="C42" s="27">
        <f>IF(' Alt Calc - Refined Products'!$F$2=TRUE,' Alt Calc - Refined Products'!D12,Dashboard!C19)</f>
        <v>680</v>
      </c>
      <c r="D42" s="43" t="str">
        <f>IF(' Alt Calc - Refined Products'!$F$2=TRUE,"Uses 'Refined Product - Alt Calc' tab product volume","Uses 'Dashboard' tab product volume")</f>
        <v>Uses 'Dashboard' tab product volume</v>
      </c>
      <c r="E42" s="247"/>
      <c r="F42" s="247"/>
      <c r="G42" s="52">
        <f>IF(SUM($C$41:$C$45)&gt;0,C42/SUM($C$41:$C$45),0)</f>
        <v>0.26013771996939555</v>
      </c>
      <c r="H42" s="43" t="s">
        <v>381</v>
      </c>
      <c r="I42" s="247"/>
      <c r="J42" s="247"/>
      <c r="K42" s="247"/>
      <c r="L42" s="247"/>
      <c r="M42" s="247"/>
      <c r="N42" s="247"/>
      <c r="O42" s="247"/>
      <c r="P42" s="247"/>
    </row>
    <row r="43" spans="2:16">
      <c r="B43" s="284" t="s">
        <v>198</v>
      </c>
      <c r="C43" s="27">
        <f>IF(' Alt Calc - Refined Products'!$F$2=TRUE,' Alt Calc - Refined Products'!D13,Dashboard!C20)</f>
        <v>408</v>
      </c>
      <c r="D43" s="43" t="str">
        <f>IF(' Alt Calc - Refined Products'!$F$2=TRUE,"Uses 'Refined Product - Alt Calc' tab product volume","Uses 'Dashboard' tab product volume")</f>
        <v>Uses 'Dashboard' tab product volume</v>
      </c>
      <c r="E43" s="247"/>
      <c r="F43" s="247"/>
      <c r="G43" s="52">
        <f>IF(SUM($C$41:$C$45)&gt;0,C43/SUM($C$41:$C$45),0)</f>
        <v>0.15608263198163733</v>
      </c>
      <c r="H43" s="43" t="s">
        <v>381</v>
      </c>
      <c r="I43" s="247"/>
      <c r="J43" s="247"/>
      <c r="K43" s="247"/>
      <c r="L43" s="247"/>
      <c r="M43" s="247"/>
      <c r="N43" s="247"/>
      <c r="O43" s="247"/>
      <c r="P43" s="247"/>
    </row>
    <row r="44" spans="2:16">
      <c r="B44" s="284" t="s">
        <v>201</v>
      </c>
      <c r="C44" s="27">
        <f>IF(' Alt Calc - Refined Products'!$F$2=TRUE,' Alt Calc - Refined Products'!D14,Dashboard!C21)</f>
        <v>224</v>
      </c>
      <c r="D44" s="43" t="str">
        <f>IF(' Alt Calc - Refined Products'!$F$2=TRUE,"Uses 'Refined Product - Alt Calc' tab product volume","Uses 'Dashboard' tab product volume")</f>
        <v>Uses 'Dashboard' tab product volume</v>
      </c>
      <c r="E44" s="247"/>
      <c r="F44" s="247"/>
      <c r="G44" s="52">
        <f>IF(SUM($C$41:$C$45)&gt;0,C44/SUM($C$41:$C$45),0)</f>
        <v>8.5692425401683245E-2</v>
      </c>
      <c r="H44" s="43" t="s">
        <v>381</v>
      </c>
      <c r="I44" s="247"/>
      <c r="J44" s="247"/>
      <c r="K44" s="247"/>
      <c r="L44" s="247"/>
      <c r="M44" s="247"/>
      <c r="N44" s="247"/>
      <c r="O44" s="247"/>
      <c r="P44" s="247"/>
    </row>
    <row r="45" spans="2:16">
      <c r="B45" s="307" t="s">
        <v>249</v>
      </c>
      <c r="C45" s="243">
        <f>IF(' Alt Calc - Refined Products'!$F$2=TRUE,' Alt Calc - Refined Products'!D15,Dashboard!C22)</f>
        <v>327</v>
      </c>
      <c r="D45" s="47" t="str">
        <f>IF(' Alt Calc - Refined Products'!$F$2=TRUE,"Uses 'Refined Product - Alt Calc' tab product volume","Uses 'Dashboard' tab product volume")</f>
        <v>Uses 'Dashboard' tab product volume</v>
      </c>
      <c r="E45" s="33"/>
      <c r="F45" s="33"/>
      <c r="G45" s="53">
        <f>IF(SUM($C$41:$C$45)&gt;0,C45/SUM($C$41:$C$45),0)</f>
        <v>0.12509563886763581</v>
      </c>
      <c r="H45" s="47" t="s">
        <v>381</v>
      </c>
      <c r="I45" s="298"/>
      <c r="J45" s="298"/>
      <c r="K45" s="298"/>
      <c r="L45" s="298"/>
      <c r="M45" s="298"/>
      <c r="N45" s="298"/>
      <c r="O45" s="298"/>
      <c r="P45" s="298"/>
    </row>
    <row r="46" spans="2:16">
      <c r="B46" s="31"/>
      <c r="C46" s="271"/>
      <c r="D46" s="308"/>
      <c r="E46" s="242"/>
      <c r="F46" s="247"/>
      <c r="G46" s="309"/>
      <c r="H46" s="31"/>
      <c r="I46" s="310"/>
      <c r="J46" s="247"/>
      <c r="K46" s="247"/>
      <c r="L46" s="247"/>
      <c r="M46" s="247"/>
      <c r="N46" s="247"/>
      <c r="O46" s="247"/>
      <c r="P46" s="247"/>
    </row>
    <row r="47" spans="2:16" ht="40.35" customHeight="1">
      <c r="B47" s="48" t="s">
        <v>382</v>
      </c>
      <c r="C47" s="29" t="s">
        <v>159</v>
      </c>
      <c r="D47" s="67" t="s">
        <v>343</v>
      </c>
      <c r="E47" s="311"/>
      <c r="F47" s="311"/>
      <c r="G47" s="29" t="s">
        <v>380</v>
      </c>
      <c r="H47" s="67" t="s">
        <v>343</v>
      </c>
      <c r="I47" s="311"/>
      <c r="J47" s="298"/>
      <c r="K47" s="298"/>
      <c r="L47" s="298"/>
      <c r="M47" s="298"/>
      <c r="N47" s="298"/>
      <c r="O47" s="298"/>
      <c r="P47" s="298"/>
    </row>
    <row r="48" spans="2:16">
      <c r="B48" s="306" t="s">
        <v>190</v>
      </c>
      <c r="C48" s="312">
        <f>$C$37*' Alt Calc - Refined Products'!C11</f>
        <v>0</v>
      </c>
      <c r="D48" s="212" t="s">
        <v>383</v>
      </c>
      <c r="E48" s="247"/>
      <c r="F48" s="247"/>
      <c r="G48" s="51">
        <f>IF(SUM($C$48:$C$52)&gt;0,C48/SUM($C$48:$C$52),0)</f>
        <v>0</v>
      </c>
      <c r="H48" s="43" t="s">
        <v>384</v>
      </c>
      <c r="I48" s="247"/>
      <c r="J48" s="247"/>
      <c r="K48" s="247"/>
      <c r="L48" s="247"/>
      <c r="M48" s="247"/>
      <c r="N48" s="247"/>
      <c r="O48" s="247"/>
      <c r="P48" s="247"/>
    </row>
    <row r="49" spans="2:16">
      <c r="B49" s="284" t="s">
        <v>194</v>
      </c>
      <c r="C49" s="301">
        <f>$C$37*' Alt Calc - Refined Products'!C12</f>
        <v>0</v>
      </c>
      <c r="D49" s="212" t="s">
        <v>383</v>
      </c>
      <c r="E49" s="247"/>
      <c r="F49" s="247"/>
      <c r="G49" s="52">
        <f>IF(SUM($C$48:$C$52)&gt;0,C49/SUM($C$48:$C$52),0)</f>
        <v>0</v>
      </c>
      <c r="H49" s="43" t="s">
        <v>384</v>
      </c>
      <c r="I49" s="247"/>
      <c r="J49" s="247"/>
      <c r="K49" s="247"/>
      <c r="L49" s="247"/>
      <c r="M49" s="247"/>
      <c r="N49" s="247"/>
      <c r="O49" s="247"/>
      <c r="P49" s="247"/>
    </row>
    <row r="50" spans="2:16">
      <c r="B50" s="284" t="s">
        <v>198</v>
      </c>
      <c r="C50" s="301">
        <f>$C$37*' Alt Calc - Refined Products'!C13</f>
        <v>0</v>
      </c>
      <c r="D50" s="212" t="s">
        <v>383</v>
      </c>
      <c r="E50" s="247"/>
      <c r="F50" s="247"/>
      <c r="G50" s="52">
        <f>IF(SUM($C$48:$C$52)&gt;0,C50/SUM($C$48:$C$52),0)</f>
        <v>0</v>
      </c>
      <c r="H50" s="43" t="s">
        <v>385</v>
      </c>
      <c r="I50" s="247"/>
      <c r="J50" s="247"/>
      <c r="K50" s="247"/>
      <c r="L50" s="247"/>
      <c r="M50" s="247"/>
      <c r="N50" s="247"/>
      <c r="O50" s="247"/>
      <c r="P50" s="247"/>
    </row>
    <row r="51" spans="2:16">
      <c r="B51" s="284" t="s">
        <v>201</v>
      </c>
      <c r="C51" s="301">
        <f>$C$37*' Alt Calc - Refined Products'!C14</f>
        <v>0</v>
      </c>
      <c r="D51" s="212" t="s">
        <v>383</v>
      </c>
      <c r="E51" s="247"/>
      <c r="F51" s="247"/>
      <c r="G51" s="52">
        <f>IF(SUM($C$48:$C$52)&gt;0,C51/SUM($C$48:$C$52),0)</f>
        <v>0</v>
      </c>
      <c r="H51" s="43" t="s">
        <v>386</v>
      </c>
      <c r="I51" s="247"/>
      <c r="J51" s="247"/>
      <c r="K51" s="247"/>
      <c r="L51" s="247"/>
      <c r="M51" s="247"/>
      <c r="N51" s="247"/>
      <c r="O51" s="247"/>
      <c r="P51" s="247"/>
    </row>
    <row r="52" spans="2:16">
      <c r="B52" s="307" t="s">
        <v>249</v>
      </c>
      <c r="C52" s="313">
        <f>$C$37*' Alt Calc - Refined Products'!C15</f>
        <v>0</v>
      </c>
      <c r="D52" s="235" t="s">
        <v>383</v>
      </c>
      <c r="E52" s="313"/>
      <c r="F52" s="311"/>
      <c r="G52" s="53">
        <f>IF(SUM($C$48:$C$52)&gt;0,C52/SUM($C$48:$C$52),0)</f>
        <v>0</v>
      </c>
      <c r="H52" s="47" t="s">
        <v>384</v>
      </c>
      <c r="I52" s="298"/>
      <c r="J52" s="298"/>
      <c r="K52" s="298"/>
      <c r="L52" s="298"/>
      <c r="M52" s="298"/>
      <c r="N52" s="298"/>
      <c r="O52" s="298"/>
      <c r="P52" s="298"/>
    </row>
    <row r="53" spans="2:16">
      <c r="B53" s="31"/>
      <c r="C53" s="247"/>
      <c r="D53" s="247"/>
      <c r="E53" s="309"/>
      <c r="F53" s="309"/>
      <c r="G53" s="247"/>
      <c r="H53" s="247"/>
      <c r="I53" s="247"/>
      <c r="J53" s="247"/>
      <c r="K53" s="247"/>
      <c r="L53" s="247"/>
      <c r="M53" s="247"/>
      <c r="N53" s="247"/>
      <c r="O53" s="247"/>
      <c r="P53" s="247"/>
    </row>
    <row r="54" spans="2:16" ht="58.15">
      <c r="B54" s="48" t="s">
        <v>317</v>
      </c>
      <c r="C54" s="32" t="s">
        <v>387</v>
      </c>
      <c r="D54" s="32" t="s">
        <v>388</v>
      </c>
      <c r="E54" s="32" t="s">
        <v>389</v>
      </c>
      <c r="F54" s="236" t="s">
        <v>390</v>
      </c>
      <c r="G54" s="67" t="s">
        <v>343</v>
      </c>
      <c r="H54" s="298"/>
      <c r="I54" s="298"/>
      <c r="J54" s="298"/>
      <c r="K54" s="298"/>
      <c r="L54" s="298"/>
      <c r="M54" s="298"/>
      <c r="N54" s="298"/>
      <c r="O54" s="247"/>
      <c r="P54" s="247"/>
    </row>
    <row r="55" spans="2:16">
      <c r="B55" s="306" t="s">
        <v>190</v>
      </c>
      <c r="C55" s="54">
        <f>IF(Dashboard!$S$2=TRUE,Factors!D73,Factors!D83)</f>
        <v>5250000</v>
      </c>
      <c r="D55" s="54">
        <f>IF(Dashboard!$S$2=TRUE,Factors!E73,Factors!E83)</f>
        <v>4990000</v>
      </c>
      <c r="E55" s="168">
        <f>IF(Dashboard!$S$2=TRUE,Factors!F73,Factors!F83)</f>
        <v>7.1542999999999995E-2</v>
      </c>
      <c r="F55" s="314">
        <f>E55*C55/1000</f>
        <v>375.60075000000001</v>
      </c>
      <c r="G55" s="43" t="s">
        <v>391</v>
      </c>
      <c r="H55" s="247"/>
      <c r="I55" s="247"/>
      <c r="J55" s="247"/>
      <c r="K55" s="247"/>
      <c r="L55" s="247"/>
      <c r="M55" s="247"/>
      <c r="N55" s="247"/>
      <c r="O55" s="247"/>
      <c r="P55" s="247"/>
    </row>
    <row r="56" spans="2:16">
      <c r="B56" s="284" t="s">
        <v>194</v>
      </c>
      <c r="C56" s="55">
        <f>IF(Dashboard!$S$2=TRUE,Factors!D74,Factors!D84)</f>
        <v>5830000</v>
      </c>
      <c r="D56" s="55">
        <f>IF(Dashboard!$S$2=TRUE,Factors!E74,Factors!E84)</f>
        <v>5530000</v>
      </c>
      <c r="E56" s="169">
        <f>IF(Dashboard!$S$2=TRUE,Factors!F74,Factors!F84)</f>
        <v>7.4442999999999995E-2</v>
      </c>
      <c r="F56" s="315">
        <f>E56*C56/1000</f>
        <v>434.00268999999992</v>
      </c>
      <c r="G56" s="43" t="s">
        <v>391</v>
      </c>
      <c r="H56" s="247"/>
      <c r="I56" s="247"/>
      <c r="J56" s="247"/>
      <c r="K56" s="247"/>
      <c r="L56" s="247"/>
      <c r="M56" s="247"/>
      <c r="N56" s="247"/>
      <c r="O56" s="247"/>
      <c r="P56" s="247"/>
    </row>
    <row r="57" spans="2:16">
      <c r="B57" s="284" t="s">
        <v>198</v>
      </c>
      <c r="C57" s="55">
        <f>IF(Dashboard!$S$2=TRUE,Factors!D75,Factors!D85)</f>
        <v>5670000</v>
      </c>
      <c r="D57" s="55">
        <f>IF(Dashboard!$S$2=TRUE,Factors!E75,Factors!E85)</f>
        <v>5390000</v>
      </c>
      <c r="E57" s="169">
        <f>IF(Dashboard!$S$2=TRUE,Factors!F75,Factors!F85)</f>
        <v>7.2442999999999994E-2</v>
      </c>
      <c r="F57" s="315">
        <f>E57*C57/1000</f>
        <v>410.75180999999992</v>
      </c>
      <c r="G57" s="43" t="s">
        <v>391</v>
      </c>
      <c r="H57" s="247"/>
      <c r="I57" s="247"/>
      <c r="J57" s="247"/>
      <c r="K57" s="247"/>
      <c r="L57" s="247"/>
      <c r="M57" s="247"/>
      <c r="N57" s="247"/>
      <c r="O57" s="247"/>
      <c r="P57" s="247"/>
    </row>
    <row r="58" spans="2:16">
      <c r="B58" s="284" t="s">
        <v>201</v>
      </c>
      <c r="C58" s="55">
        <f>IF(Dashboard!$S$2=TRUE,Factors!D76,Factors!D86)</f>
        <v>6290000</v>
      </c>
      <c r="D58" s="55">
        <f>IF(Dashboard!$S$2=TRUE,Factors!E76,Factors!E86)</f>
        <v>5970000</v>
      </c>
      <c r="E58" s="169">
        <f>IF(Dashboard!$S$2=TRUE,Factors!F76,Factors!F86)</f>
        <v>7.5243000000000004E-2</v>
      </c>
      <c r="F58" s="315">
        <f>E58*C58/1000</f>
        <v>473.27847000000003</v>
      </c>
      <c r="G58" s="43" t="s">
        <v>391</v>
      </c>
      <c r="H58" s="247"/>
      <c r="I58" s="247"/>
      <c r="J58" s="247"/>
      <c r="K58" s="247"/>
      <c r="L58" s="247"/>
      <c r="M58" s="247"/>
      <c r="N58" s="247"/>
      <c r="O58" s="247"/>
      <c r="P58" s="247"/>
    </row>
    <row r="59" spans="2:16">
      <c r="B59" s="307" t="s">
        <v>249</v>
      </c>
      <c r="C59" s="56">
        <f>IF(Dashboard!$S$2=TRUE,Factors!D77,Factors!D87)</f>
        <v>5800000</v>
      </c>
      <c r="D59" s="56">
        <f>IF(Dashboard!$S$2=TRUE,Factors!E77,Factors!E87)</f>
        <v>5510000</v>
      </c>
      <c r="E59" s="170">
        <f>IF(Dashboard!$S$2=TRUE,Factors!F77,Factors!F87)</f>
        <v>7.4743000000000004E-2</v>
      </c>
      <c r="F59" s="316">
        <f>E59*C59/1000</f>
        <v>433.50940000000003</v>
      </c>
      <c r="G59" s="47" t="s">
        <v>391</v>
      </c>
      <c r="H59" s="298"/>
      <c r="I59" s="298"/>
      <c r="J59" s="298"/>
      <c r="K59" s="298"/>
      <c r="L59" s="298"/>
      <c r="M59" s="298"/>
      <c r="N59" s="298"/>
      <c r="O59" s="247"/>
      <c r="P59" s="247"/>
    </row>
    <row r="60" spans="2:16">
      <c r="B60" s="34" t="str">
        <f>IF(Dashboard!$S$2=TRUE,Factors!C78,Factors!C88)</f>
        <v xml:space="preserve">a  Source: API Compendium (2021) Table 3-8 for Densities, Higher Heating Values, and Carbon Contents for Various fuels     
</v>
      </c>
      <c r="C60" s="247"/>
      <c r="D60" s="247"/>
      <c r="E60" s="247"/>
      <c r="F60" s="247"/>
      <c r="G60" s="309"/>
      <c r="H60" s="31"/>
      <c r="I60" s="247"/>
      <c r="J60" s="247"/>
      <c r="K60" s="247"/>
      <c r="L60" s="247"/>
      <c r="M60" s="247"/>
      <c r="N60" s="247"/>
      <c r="O60" s="247"/>
      <c r="P60" s="247"/>
    </row>
    <row r="61" spans="2:16">
      <c r="B61" s="34" t="str">
        <f>IF(Dashboard!$S$2=TRUE,Factors!C79,Factors!C89)</f>
        <v>b  Source: API Compendium (2021) Tables 4-3 and 4-6 for CO2e Combustion Emission Factors for Common Industry Fuel Types. Assumed GWPs for CH4 and N2O are 28 and 265, respectively.</v>
      </c>
      <c r="C61" s="247"/>
      <c r="D61" s="247"/>
      <c r="E61" s="247"/>
      <c r="F61" s="247"/>
      <c r="G61" s="317"/>
      <c r="H61" s="29"/>
      <c r="I61" s="247"/>
      <c r="J61" s="247"/>
      <c r="K61" s="247"/>
      <c r="L61" s="247"/>
      <c r="M61" s="247"/>
      <c r="N61" s="247"/>
      <c r="O61" s="247"/>
      <c r="P61" s="247"/>
    </row>
    <row r="63" spans="2:16" ht="42">
      <c r="B63" s="48" t="s">
        <v>392</v>
      </c>
      <c r="C63" s="32" t="s">
        <v>393</v>
      </c>
      <c r="D63" s="32" t="s">
        <v>394</v>
      </c>
      <c r="E63" s="236" t="s">
        <v>395</v>
      </c>
      <c r="F63" s="67" t="s">
        <v>343</v>
      </c>
      <c r="G63" s="298"/>
      <c r="H63" s="298"/>
      <c r="I63" s="298"/>
      <c r="J63" s="298"/>
      <c r="K63" s="298"/>
      <c r="L63" s="298"/>
      <c r="M63" s="298"/>
      <c r="N63" s="247"/>
      <c r="O63" s="247"/>
      <c r="P63" s="247"/>
    </row>
    <row r="64" spans="2:16">
      <c r="B64" s="306" t="s">
        <v>190</v>
      </c>
      <c r="C64" s="312">
        <f t="shared" ref="C64:D68" si="0">C55*$G41</f>
        <v>1958205.8148431522</v>
      </c>
      <c r="D64" s="312">
        <f t="shared" si="0"/>
        <v>1861228.0030604436</v>
      </c>
      <c r="E64" s="318">
        <f>F55*$G41</f>
        <v>140.09591861132364</v>
      </c>
      <c r="F64" s="212" t="s">
        <v>396</v>
      </c>
      <c r="G64" s="247"/>
      <c r="H64" s="247"/>
      <c r="I64" s="247"/>
      <c r="J64" s="247"/>
      <c r="K64" s="247"/>
      <c r="L64" s="247"/>
      <c r="M64" s="247"/>
      <c r="N64" s="247"/>
      <c r="O64" s="247"/>
      <c r="P64" s="247"/>
    </row>
    <row r="65" spans="2:16">
      <c r="B65" s="284" t="s">
        <v>194</v>
      </c>
      <c r="C65" s="301">
        <f t="shared" si="0"/>
        <v>1516602.9074215761</v>
      </c>
      <c r="D65" s="301">
        <f t="shared" si="0"/>
        <v>1438561.5914307574</v>
      </c>
      <c r="E65" s="319">
        <f>F56*$G42</f>
        <v>112.90047023718436</v>
      </c>
      <c r="F65" s="212" t="s">
        <v>396</v>
      </c>
      <c r="G65" s="247"/>
      <c r="H65" s="247"/>
      <c r="I65" s="247"/>
      <c r="J65" s="247"/>
      <c r="K65" s="247"/>
      <c r="L65" s="247"/>
      <c r="M65" s="247"/>
      <c r="N65" s="247"/>
      <c r="O65" s="247"/>
      <c r="P65" s="247"/>
    </row>
    <row r="66" spans="2:16">
      <c r="B66" s="284" t="s">
        <v>198</v>
      </c>
      <c r="C66" s="301">
        <f t="shared" si="0"/>
        <v>884988.52333588363</v>
      </c>
      <c r="D66" s="301">
        <f t="shared" si="0"/>
        <v>841285.38638102519</v>
      </c>
      <c r="E66" s="319">
        <f>F57*$G43</f>
        <v>64.111223596021404</v>
      </c>
      <c r="F66" s="43" t="s">
        <v>396</v>
      </c>
      <c r="G66" s="247"/>
      <c r="H66" s="247"/>
      <c r="I66" s="247"/>
      <c r="J66" s="247"/>
      <c r="K66" s="247"/>
      <c r="L66" s="247"/>
      <c r="M66" s="247"/>
      <c r="N66" s="247"/>
      <c r="O66" s="247"/>
      <c r="P66" s="247"/>
    </row>
    <row r="67" spans="2:16">
      <c r="B67" s="284" t="s">
        <v>201</v>
      </c>
      <c r="C67" s="301">
        <f t="shared" si="0"/>
        <v>539005.35577658762</v>
      </c>
      <c r="D67" s="301">
        <f t="shared" si="0"/>
        <v>511583.77964804898</v>
      </c>
      <c r="E67" s="319">
        <f>F58*$G44</f>
        <v>40.556379984697784</v>
      </c>
      <c r="F67" s="212" t="s">
        <v>396</v>
      </c>
      <c r="G67" s="247"/>
      <c r="H67" s="247"/>
      <c r="I67" s="247"/>
      <c r="J67" s="247"/>
      <c r="K67" s="247"/>
      <c r="L67" s="247"/>
      <c r="M67" s="247"/>
      <c r="N67" s="247"/>
      <c r="O67" s="247"/>
      <c r="P67" s="247"/>
    </row>
    <row r="68" spans="2:16">
      <c r="B68" s="307" t="s">
        <v>249</v>
      </c>
      <c r="C68" s="313">
        <f t="shared" si="0"/>
        <v>725554.70543228765</v>
      </c>
      <c r="D68" s="313">
        <f t="shared" si="0"/>
        <v>689276.97016067326</v>
      </c>
      <c r="E68" s="320">
        <f>F59*$G45</f>
        <v>54.230135348125479</v>
      </c>
      <c r="F68" s="235" t="s">
        <v>396</v>
      </c>
      <c r="G68" s="298"/>
      <c r="H68" s="298"/>
      <c r="I68" s="298"/>
      <c r="J68" s="298"/>
      <c r="K68" s="298"/>
      <c r="L68" s="298"/>
      <c r="M68" s="298"/>
      <c r="N68" s="247"/>
      <c r="O68" s="247"/>
      <c r="P68" s="247"/>
    </row>
    <row r="69" spans="2:16">
      <c r="B69" s="31" t="s">
        <v>397</v>
      </c>
      <c r="C69" s="301">
        <f>SUM(C64:C68)</f>
        <v>5624357.3068094868</v>
      </c>
      <c r="D69" s="301">
        <f>SUM(D64:D68)</f>
        <v>5341935.7306809481</v>
      </c>
      <c r="E69" s="319">
        <f>SUM(E64:E68)</f>
        <v>411.89412777735271</v>
      </c>
      <c r="F69" s="247"/>
      <c r="G69" s="247"/>
      <c r="H69" s="247"/>
      <c r="I69" s="247"/>
      <c r="J69" s="247"/>
      <c r="K69" s="247"/>
      <c r="L69" s="247"/>
      <c r="M69" s="247"/>
      <c r="N69" s="247"/>
      <c r="O69" s="247"/>
      <c r="P69" s="247"/>
    </row>
    <row r="70" spans="2:16">
      <c r="B70" s="247"/>
      <c r="C70" s="301"/>
      <c r="D70" s="301"/>
      <c r="E70" s="319"/>
      <c r="F70" s="247"/>
      <c r="G70" s="247"/>
      <c r="H70" s="247"/>
      <c r="I70" s="247"/>
      <c r="J70" s="247"/>
      <c r="K70" s="247"/>
      <c r="L70" s="247"/>
      <c r="M70" s="247"/>
      <c r="N70" s="247"/>
      <c r="O70" s="247"/>
      <c r="P70" s="247"/>
    </row>
    <row r="71" spans="2:16" ht="42">
      <c r="B71" s="48" t="s">
        <v>398</v>
      </c>
      <c r="C71" s="32" t="s">
        <v>393</v>
      </c>
      <c r="D71" s="32" t="s">
        <v>394</v>
      </c>
      <c r="E71" s="29" t="s">
        <v>399</v>
      </c>
      <c r="F71" s="67" t="s">
        <v>343</v>
      </c>
      <c r="G71" s="298"/>
      <c r="H71" s="298"/>
      <c r="I71" s="298"/>
      <c r="J71" s="298"/>
      <c r="K71" s="298"/>
      <c r="L71" s="298"/>
      <c r="M71" s="298"/>
      <c r="N71" s="247"/>
      <c r="O71" s="247"/>
      <c r="P71" s="247"/>
    </row>
    <row r="72" spans="2:16">
      <c r="B72" s="306" t="s">
        <v>190</v>
      </c>
      <c r="C72" s="312">
        <f t="shared" ref="C72:D76" si="1">C55*$G48</f>
        <v>0</v>
      </c>
      <c r="D72" s="312">
        <f t="shared" si="1"/>
        <v>0</v>
      </c>
      <c r="E72" s="318">
        <f>F55*$G48</f>
        <v>0</v>
      </c>
      <c r="F72" s="212" t="s">
        <v>400</v>
      </c>
      <c r="G72" s="247"/>
      <c r="H72" s="247"/>
      <c r="I72" s="247"/>
      <c r="J72" s="247"/>
      <c r="K72" s="247"/>
      <c r="L72" s="247"/>
      <c r="M72" s="247"/>
      <c r="N72" s="247"/>
      <c r="O72" s="247"/>
      <c r="P72" s="247"/>
    </row>
    <row r="73" spans="2:16">
      <c r="B73" s="284" t="s">
        <v>194</v>
      </c>
      <c r="C73" s="301">
        <f t="shared" si="1"/>
        <v>0</v>
      </c>
      <c r="D73" s="301">
        <f t="shared" si="1"/>
        <v>0</v>
      </c>
      <c r="E73" s="319">
        <f>F56*$G49</f>
        <v>0</v>
      </c>
      <c r="F73" s="212" t="s">
        <v>400</v>
      </c>
      <c r="G73" s="247"/>
      <c r="H73" s="247"/>
      <c r="I73" s="247"/>
      <c r="J73" s="247"/>
      <c r="K73" s="247"/>
      <c r="L73" s="247"/>
      <c r="M73" s="247"/>
      <c r="N73" s="247"/>
      <c r="O73" s="247"/>
      <c r="P73" s="247"/>
    </row>
    <row r="74" spans="2:16">
      <c r="B74" s="284" t="s">
        <v>198</v>
      </c>
      <c r="C74" s="301">
        <f t="shared" si="1"/>
        <v>0</v>
      </c>
      <c r="D74" s="301">
        <f t="shared" si="1"/>
        <v>0</v>
      </c>
      <c r="E74" s="319">
        <f>F57*$G50</f>
        <v>0</v>
      </c>
      <c r="F74" s="212" t="s">
        <v>400</v>
      </c>
      <c r="G74" s="247"/>
      <c r="H74" s="247"/>
      <c r="I74" s="247"/>
      <c r="J74" s="247"/>
      <c r="K74" s="247"/>
      <c r="L74" s="247"/>
      <c r="M74" s="247"/>
      <c r="N74" s="247"/>
      <c r="O74" s="247"/>
      <c r="P74" s="247"/>
    </row>
    <row r="75" spans="2:16">
      <c r="B75" s="284" t="s">
        <v>201</v>
      </c>
      <c r="C75" s="301">
        <f t="shared" si="1"/>
        <v>0</v>
      </c>
      <c r="D75" s="301">
        <f t="shared" si="1"/>
        <v>0</v>
      </c>
      <c r="E75" s="319">
        <f>F58*$G51</f>
        <v>0</v>
      </c>
      <c r="F75" s="212" t="s">
        <v>400</v>
      </c>
      <c r="G75" s="247"/>
      <c r="H75" s="247"/>
      <c r="I75" s="247"/>
      <c r="J75" s="247"/>
      <c r="K75" s="247"/>
      <c r="L75" s="247"/>
      <c r="M75" s="247"/>
      <c r="N75" s="247"/>
      <c r="O75" s="247"/>
      <c r="P75" s="247"/>
    </row>
    <row r="76" spans="2:16">
      <c r="B76" s="307" t="s">
        <v>249</v>
      </c>
      <c r="C76" s="313">
        <f t="shared" si="1"/>
        <v>0</v>
      </c>
      <c r="D76" s="313">
        <f t="shared" si="1"/>
        <v>0</v>
      </c>
      <c r="E76" s="320">
        <f>F59*$G52</f>
        <v>0</v>
      </c>
      <c r="F76" s="235" t="s">
        <v>400</v>
      </c>
      <c r="G76" s="298"/>
      <c r="H76" s="298"/>
      <c r="I76" s="298"/>
      <c r="J76" s="298"/>
      <c r="K76" s="298"/>
      <c r="L76" s="298"/>
      <c r="M76" s="298"/>
      <c r="N76" s="247"/>
      <c r="O76" s="247"/>
      <c r="P76" s="247"/>
    </row>
    <row r="77" spans="2:16">
      <c r="B77" s="31" t="s">
        <v>397</v>
      </c>
      <c r="C77" s="301">
        <f>SUM(C72:C76)</f>
        <v>0</v>
      </c>
      <c r="D77" s="301">
        <f>SUM(D72:D76)</f>
        <v>0</v>
      </c>
      <c r="E77" s="319">
        <f>SUM(E72:E76)</f>
        <v>0</v>
      </c>
      <c r="F77" s="247"/>
      <c r="G77" s="247"/>
      <c r="H77" s="247"/>
      <c r="I77" s="247"/>
      <c r="J77" s="247"/>
      <c r="K77" s="247"/>
      <c r="L77" s="247"/>
      <c r="M77" s="247"/>
      <c r="N77" s="247"/>
      <c r="O77" s="247"/>
      <c r="P77" s="247"/>
    </row>
    <row r="79" spans="2:16" ht="13.9" thickBot="1">
      <c r="B79" s="60" t="s">
        <v>401</v>
      </c>
      <c r="C79" s="60"/>
      <c r="D79" s="60"/>
      <c r="E79" s="38"/>
      <c r="F79" s="38"/>
      <c r="G79" s="38"/>
      <c r="H79" s="38"/>
      <c r="I79" s="38"/>
      <c r="J79" s="38"/>
      <c r="K79" s="38"/>
      <c r="L79" s="38"/>
      <c r="M79" s="38"/>
      <c r="N79" s="38"/>
      <c r="O79" s="38"/>
      <c r="P79" s="38"/>
    </row>
    <row r="80" spans="2:16" ht="45" customHeight="1">
      <c r="B80" s="72" t="s">
        <v>402</v>
      </c>
      <c r="C80" s="33" t="s">
        <v>403</v>
      </c>
      <c r="D80" s="72" t="s">
        <v>159</v>
      </c>
      <c r="E80" s="28"/>
      <c r="F80" s="305"/>
      <c r="G80" s="247"/>
      <c r="H80" s="247"/>
      <c r="I80" s="247"/>
      <c r="J80" s="247"/>
      <c r="K80" s="247"/>
      <c r="L80" s="247"/>
      <c r="M80" s="247"/>
      <c r="N80" s="247"/>
      <c r="O80" s="247"/>
      <c r="P80" s="247"/>
    </row>
    <row r="81" spans="2:16" ht="29.25" customHeight="1">
      <c r="B81" s="321">
        <f>RANK(D81,$D$81:$D$87,0)+COUNTIF($D$81:D81,D81)-1</f>
        <v>1</v>
      </c>
      <c r="C81" s="214" t="s">
        <v>404</v>
      </c>
      <c r="D81" s="321">
        <f>MIN($C$30,$C$36)</f>
        <v>1420.1679999999999</v>
      </c>
      <c r="E81" s="301"/>
      <c r="F81" s="247"/>
      <c r="G81" s="247"/>
      <c r="H81" s="247"/>
      <c r="I81" s="247"/>
      <c r="J81" s="247"/>
      <c r="K81" s="247"/>
      <c r="L81" s="247"/>
      <c r="M81" s="247"/>
      <c r="N81" s="247"/>
      <c r="O81" s="247"/>
      <c r="P81" s="247"/>
    </row>
    <row r="82" spans="2:16" ht="29.25" customHeight="1">
      <c r="B82" s="321">
        <f>RANK(D82,$D$81:$D$87,0)+COUNTIF($D$81:D82,D82)-1</f>
        <v>5</v>
      </c>
      <c r="C82" s="214" t="s">
        <v>405</v>
      </c>
      <c r="D82" s="321">
        <f>MAX(0,$C$36-($C$30+$C$31+$C$33))</f>
        <v>0</v>
      </c>
      <c r="E82" s="301"/>
      <c r="F82" s="26"/>
      <c r="G82" s="247"/>
      <c r="H82" s="247"/>
      <c r="I82" s="247"/>
      <c r="J82" s="247"/>
      <c r="K82" s="247"/>
      <c r="L82" s="247"/>
      <c r="M82" s="247"/>
      <c r="N82" s="247"/>
      <c r="O82" s="247"/>
      <c r="P82" s="247"/>
    </row>
    <row r="83" spans="2:16" ht="29.25" customHeight="1">
      <c r="B83" s="321">
        <f>RANK(D83,$D$81:$D$87,0)+COUNTIF($D$81:D83,D83)-1</f>
        <v>3</v>
      </c>
      <c r="C83" s="214" t="s">
        <v>406</v>
      </c>
      <c r="D83" s="321">
        <f>MAX(0,$C$36-($C$30+$C$32+$C$33))</f>
        <v>178.58399999999983</v>
      </c>
      <c r="E83" s="301"/>
      <c r="F83" s="247"/>
      <c r="G83" s="247"/>
      <c r="H83" s="247"/>
      <c r="I83" s="247"/>
      <c r="J83" s="247"/>
      <c r="K83" s="247"/>
      <c r="L83" s="247"/>
      <c r="M83" s="247"/>
      <c r="N83" s="247"/>
      <c r="O83" s="247"/>
      <c r="P83" s="247"/>
    </row>
    <row r="84" spans="2:16" ht="29.25" customHeight="1">
      <c r="B84" s="321">
        <f>RANK(D84,$D$81:$D$87,0)+COUNTIF($D$81:D84,D84)-1</f>
        <v>2</v>
      </c>
      <c r="C84" s="214" t="s">
        <v>407</v>
      </c>
      <c r="D84" s="321">
        <f>MAX(0,$C$36-($C$30+$C$31+$C$32))</f>
        <v>910.24800000000005</v>
      </c>
      <c r="E84" s="301"/>
      <c r="F84" s="247"/>
      <c r="G84" s="247"/>
      <c r="H84" s="247"/>
      <c r="I84" s="247"/>
      <c r="J84" s="247"/>
      <c r="K84" s="247"/>
      <c r="L84" s="247"/>
      <c r="M84" s="247"/>
      <c r="N84" s="247"/>
      <c r="O84" s="247"/>
      <c r="P84" s="247"/>
    </row>
    <row r="85" spans="2:16" ht="29.25" customHeight="1">
      <c r="B85" s="321">
        <f>RANK(D85,$D$81:$D$87,0)+COUNTIF($D$81:D85,D85)-1</f>
        <v>6</v>
      </c>
      <c r="C85" s="214" t="s">
        <v>408</v>
      </c>
      <c r="D85" s="321">
        <f>MAX(0,$C$30-$C$36)</f>
        <v>0</v>
      </c>
      <c r="E85" s="301"/>
      <c r="F85" s="247"/>
      <c r="G85" s="247"/>
      <c r="H85" s="247"/>
      <c r="I85" s="247"/>
      <c r="J85" s="247"/>
      <c r="K85" s="247"/>
      <c r="L85" s="247"/>
      <c r="M85" s="247"/>
      <c r="N85" s="247"/>
      <c r="O85" s="247"/>
      <c r="P85" s="247"/>
    </row>
    <row r="86" spans="2:16" ht="29.25" customHeight="1">
      <c r="B86" s="321">
        <f>RANK(D86,$D$81:$D$87,0)+COUNTIF($D$81:D86,D86)-1</f>
        <v>7</v>
      </c>
      <c r="C86" s="214" t="s">
        <v>409</v>
      </c>
      <c r="D86" s="321">
        <f>MAX(0,$C$32-$D$82)</f>
        <v>0</v>
      </c>
      <c r="E86" s="271"/>
      <c r="F86" s="247"/>
      <c r="G86" s="247"/>
      <c r="H86" s="247"/>
      <c r="I86" s="247"/>
      <c r="J86" s="247"/>
      <c r="K86" s="247"/>
      <c r="L86" s="247"/>
      <c r="M86" s="247"/>
      <c r="N86" s="247"/>
      <c r="O86" s="247"/>
      <c r="P86" s="247"/>
    </row>
    <row r="87" spans="2:16" ht="29.25" customHeight="1">
      <c r="B87" s="321">
        <f>RANK(D87,$D$81:$D$87,0)+COUNTIF($D$81:D87,D87)-1</f>
        <v>4</v>
      </c>
      <c r="C87" s="214" t="s">
        <v>410</v>
      </c>
      <c r="D87" s="321">
        <f>MAX(0,$C$31-$D$83)</f>
        <v>1.7053025658242404E-13</v>
      </c>
      <c r="E87" s="301"/>
      <c r="F87" s="247"/>
      <c r="G87" s="247"/>
      <c r="H87" s="247"/>
      <c r="I87" s="247"/>
      <c r="J87" s="247"/>
      <c r="K87" s="247"/>
      <c r="L87" s="247"/>
      <c r="M87" s="247"/>
      <c r="N87" s="247"/>
      <c r="O87" s="247"/>
      <c r="P87" s="247"/>
    </row>
    <row r="88" spans="2:16">
      <c r="B88" s="278"/>
      <c r="C88" s="36"/>
      <c r="D88" s="322"/>
      <c r="E88" s="271"/>
      <c r="F88" s="247"/>
      <c r="G88" s="247"/>
      <c r="H88" s="247"/>
      <c r="I88" s="247"/>
      <c r="J88" s="247"/>
      <c r="K88" s="247"/>
      <c r="L88" s="247"/>
      <c r="M88" s="247"/>
      <c r="N88" s="247"/>
      <c r="O88" s="247"/>
      <c r="P88" s="247"/>
    </row>
    <row r="89" spans="2:16" ht="13.9" thickBot="1">
      <c r="B89" s="60" t="s">
        <v>279</v>
      </c>
      <c r="C89" s="60"/>
      <c r="D89" s="60"/>
      <c r="E89" s="60"/>
      <c r="F89" s="60"/>
      <c r="G89" s="60"/>
      <c r="H89" s="60"/>
      <c r="I89" s="60"/>
      <c r="J89" s="38"/>
      <c r="K89" s="38"/>
      <c r="L89" s="38"/>
      <c r="M89" s="38"/>
      <c r="N89" s="38"/>
      <c r="O89" s="38"/>
      <c r="P89" s="38"/>
    </row>
    <row r="90" spans="2:16" ht="30">
      <c r="B90" s="72" t="s">
        <v>282</v>
      </c>
      <c r="C90" s="72" t="s">
        <v>411</v>
      </c>
      <c r="D90" s="33" t="s">
        <v>412</v>
      </c>
      <c r="E90" s="73" t="s">
        <v>413</v>
      </c>
      <c r="F90" s="33"/>
      <c r="G90" s="33"/>
      <c r="H90" s="33" t="s">
        <v>414</v>
      </c>
      <c r="I90" s="33" t="s">
        <v>343</v>
      </c>
      <c r="J90" s="298"/>
      <c r="K90" s="298"/>
      <c r="L90" s="298"/>
      <c r="M90" s="298"/>
      <c r="N90" s="247"/>
      <c r="O90" s="247"/>
      <c r="P90" s="247"/>
    </row>
    <row r="91" spans="2:16">
      <c r="B91" s="271" t="s">
        <v>415</v>
      </c>
      <c r="C91" s="271" t="s">
        <v>416</v>
      </c>
      <c r="D91" s="27">
        <f>Dashboard!C13</f>
        <v>25.2</v>
      </c>
      <c r="E91" s="210" t="s">
        <v>351</v>
      </c>
      <c r="F91" s="247"/>
      <c r="G91" s="247"/>
      <c r="H91" s="295">
        <f>D91/$C$24</f>
        <v>23.706491063029162</v>
      </c>
      <c r="I91" s="212" t="s">
        <v>417</v>
      </c>
      <c r="J91" s="247"/>
      <c r="K91" s="247"/>
      <c r="L91" s="247"/>
      <c r="M91" s="247"/>
      <c r="N91" s="247"/>
      <c r="O91" s="247"/>
      <c r="P91" s="247"/>
    </row>
    <row r="92" spans="2:16">
      <c r="B92" s="271" t="s">
        <v>415</v>
      </c>
      <c r="C92" s="271" t="s">
        <v>418</v>
      </c>
      <c r="D92" s="59">
        <f>IF(Dashboard!$S$2=TRUE,Factors!D34,Factors!F34)</f>
        <v>46</v>
      </c>
      <c r="E92" s="211" t="str">
        <f>IF(Dashboard!$S$2=TRUE,Factors!E34,Factors!G34)</f>
        <v>Chevron internal analysis of IEA World Energy Outlook 2018</v>
      </c>
      <c r="F92" s="247"/>
      <c r="G92" s="247"/>
      <c r="H92" s="295">
        <f>D92/$C$24</f>
        <v>43.273753527751651</v>
      </c>
      <c r="I92" s="212" t="s">
        <v>417</v>
      </c>
      <c r="J92" s="247"/>
      <c r="K92" s="247"/>
      <c r="L92" s="247"/>
      <c r="M92" s="247"/>
      <c r="N92" s="247"/>
      <c r="O92" s="247"/>
      <c r="P92" s="247"/>
    </row>
    <row r="93" spans="2:16">
      <c r="B93" s="271" t="s">
        <v>419</v>
      </c>
      <c r="C93" s="271" t="s">
        <v>416</v>
      </c>
      <c r="D93" s="27">
        <f>Dashboard!C16</f>
        <v>37</v>
      </c>
      <c r="E93" s="210" t="s">
        <v>351</v>
      </c>
      <c r="F93" s="247"/>
      <c r="G93" s="247"/>
      <c r="H93" s="295">
        <f>D93/$C$24</f>
        <v>34.807149576669801</v>
      </c>
      <c r="I93" s="212" t="s">
        <v>417</v>
      </c>
      <c r="J93" s="247"/>
      <c r="K93" s="247"/>
      <c r="L93" s="247"/>
      <c r="M93" s="247"/>
      <c r="N93" s="247"/>
      <c r="O93" s="247"/>
      <c r="P93" s="247"/>
    </row>
    <row r="94" spans="2:16">
      <c r="B94" s="271" t="s">
        <v>419</v>
      </c>
      <c r="C94" s="271" t="s">
        <v>418</v>
      </c>
      <c r="D94" s="59">
        <f>IF(Dashboard!$S$2=TRUE,Factors!D35,Factors!F35)</f>
        <v>33</v>
      </c>
      <c r="E94" s="211" t="str">
        <f>IF(Dashboard!$S$2=TRUE,Factors!E35,Factors!G35)</f>
        <v>Chevron internal analysis of IEA World Energy Outlook 2018</v>
      </c>
      <c r="F94" s="247"/>
      <c r="G94" s="247"/>
      <c r="H94" s="295">
        <f>D94/$C$24</f>
        <v>31.044214487300096</v>
      </c>
      <c r="I94" s="212" t="s">
        <v>417</v>
      </c>
      <c r="J94" s="247"/>
      <c r="K94" s="247"/>
      <c r="L94" s="247"/>
      <c r="M94" s="247"/>
      <c r="N94" s="247"/>
      <c r="O94" s="247"/>
      <c r="P94" s="247"/>
    </row>
    <row r="95" spans="2:16">
      <c r="B95" s="271" t="s">
        <v>420</v>
      </c>
      <c r="C95" s="271" t="s">
        <v>421</v>
      </c>
      <c r="D95" s="59">
        <f>IF(Dashboard!$S$2=TRUE,Factors!D36,Factors!F36)</f>
        <v>9.5</v>
      </c>
      <c r="E95" s="211" t="str">
        <f>IF(Dashboard!$S$2=TRUE,Factors!E36,Factors!G36)</f>
        <v>Chevron internal analysis of IEA World Energy Outlook 2018</v>
      </c>
      <c r="F95" s="247"/>
      <c r="G95" s="247"/>
      <c r="H95" s="295">
        <f>D95/$C$24</f>
        <v>8.9369708372530585</v>
      </c>
      <c r="I95" s="212" t="s">
        <v>417</v>
      </c>
      <c r="J95" s="247"/>
      <c r="K95" s="247"/>
      <c r="L95" s="247"/>
      <c r="M95" s="247"/>
      <c r="N95" s="247"/>
      <c r="O95" s="247"/>
      <c r="P95" s="247"/>
    </row>
    <row r="97" spans="2:16" ht="13.5" customHeight="1">
      <c r="B97" s="247"/>
      <c r="C97" s="247"/>
      <c r="D97" s="301"/>
      <c r="E97" s="305"/>
      <c r="F97" s="247"/>
      <c r="G97" s="247"/>
      <c r="H97" s="247"/>
      <c r="I97" s="247"/>
      <c r="J97" s="247"/>
      <c r="K97" s="247"/>
      <c r="L97" s="247"/>
      <c r="M97" s="247"/>
      <c r="N97" s="247"/>
      <c r="O97" s="247"/>
      <c r="P97" s="247"/>
    </row>
    <row r="98" spans="2:16" ht="15.6">
      <c r="B98" s="60" t="s">
        <v>422</v>
      </c>
      <c r="C98" s="60"/>
      <c r="D98" s="60"/>
      <c r="E98" s="60"/>
      <c r="F98" s="60" t="s">
        <v>423</v>
      </c>
      <c r="G98" s="231"/>
      <c r="H98" s="60"/>
      <c r="I98" s="60"/>
      <c r="J98" s="60"/>
      <c r="K98" s="60"/>
      <c r="L98" s="60"/>
      <c r="M98" s="60"/>
      <c r="N98" s="60"/>
      <c r="O98" s="60"/>
      <c r="P98" s="60"/>
    </row>
    <row r="99" spans="2:16" s="65" customFormat="1" ht="40.35" customHeight="1">
      <c r="B99" s="379" t="s">
        <v>424</v>
      </c>
      <c r="C99" s="380"/>
      <c r="D99" s="380"/>
      <c r="E99" s="381"/>
      <c r="F99" s="63"/>
      <c r="G99" s="63"/>
      <c r="H99" s="63"/>
      <c r="I99" s="63"/>
      <c r="J99" s="64"/>
      <c r="K99" s="63"/>
      <c r="L99" s="63"/>
    </row>
    <row r="100" spans="2:16" ht="39.6">
      <c r="B100" s="25" t="s">
        <v>425</v>
      </c>
      <c r="C100" s="29" t="s">
        <v>426</v>
      </c>
      <c r="D100" s="29" t="s">
        <v>427</v>
      </c>
      <c r="E100" s="29" t="s">
        <v>428</v>
      </c>
      <c r="F100" s="37" t="s">
        <v>429</v>
      </c>
      <c r="G100" s="29" t="s">
        <v>430</v>
      </c>
      <c r="H100" s="29" t="s">
        <v>431</v>
      </c>
      <c r="I100" s="29" t="s">
        <v>432</v>
      </c>
      <c r="J100" s="37" t="s">
        <v>433</v>
      </c>
      <c r="K100" s="29" t="s">
        <v>434</v>
      </c>
      <c r="L100" s="323"/>
      <c r="M100" s="247"/>
      <c r="N100" s="247"/>
      <c r="O100" s="247"/>
      <c r="P100" s="247"/>
    </row>
    <row r="101" spans="2:16">
      <c r="B101" s="81" t="str">
        <f>VLOOKUP(COUNT($B$81:B81),$B$81:$C$87,2,FALSE)</f>
        <v>Company Produced + Company Refined + Company Marketed</v>
      </c>
      <c r="C101" s="312">
        <f>VLOOKUP(COUNT($B$81:B81),$B$81:$D$87,3,FALSE)</f>
        <v>1420.1679999999999</v>
      </c>
      <c r="D101" s="312">
        <f>C101*$C$25/1000/$C$26*IF(RIGHT(B101,16)="Company Marketed",$C$69,$C$77)</f>
        <v>3075962.2139183097</v>
      </c>
      <c r="E101" s="312">
        <f>C101*$C$25/1000/$C$26*IF(RIGHT(B101,16)="Company Marketed",$D$69,$D$77)</f>
        <v>2921505.7935349764</v>
      </c>
      <c r="F101" s="324">
        <f t="shared" ref="F101:F107" si="2">IF(LEFT($B101,7)="Company",$H$91,$H$92)</f>
        <v>23.706491063029162</v>
      </c>
      <c r="G101" s="325">
        <f t="shared" ref="G101:G107" si="3">IF(IFERROR(SEARCH("Company Refined",B101),0)&gt;0,$H$93,$H$94)</f>
        <v>34.807149576669801</v>
      </c>
      <c r="H101" s="325">
        <f t="shared" ref="H101:H107" si="4">$H$95</f>
        <v>8.9369708372530585</v>
      </c>
      <c r="I101" s="325">
        <f t="shared" ref="I101:I107" si="5">IF(RIGHT(B101,16)="Company Marketed",$E$69,$E$77)</f>
        <v>411.89412777735271</v>
      </c>
      <c r="J101" s="324">
        <f>SUM(F101:I101)</f>
        <v>479.34473925430473</v>
      </c>
      <c r="K101" s="326">
        <f>C101*$J101*$C$25/1000000</f>
        <v>248.4737717749172</v>
      </c>
      <c r="L101" s="326"/>
      <c r="M101" s="247"/>
      <c r="N101" s="247"/>
      <c r="O101" s="247"/>
      <c r="P101" s="247"/>
    </row>
    <row r="102" spans="2:16">
      <c r="B102" s="25" t="str">
        <f>VLOOKUP(COUNT($B$81:B82),$B$81:$C$87,2,FALSE)</f>
        <v>Third Party Produced + Third Party Refined + Company Marketed</v>
      </c>
      <c r="C102" s="301">
        <f>VLOOKUP(COUNT($B$81:B82),$B$81:$D$87,3,FALSE)</f>
        <v>910.24800000000005</v>
      </c>
      <c r="D102" s="301">
        <f>C102*$C$25/1000/$C$26*IF(RIGHT(B102,16)="Company Marketed",$C$69,$C$77)</f>
        <v>1971519.1817409727</v>
      </c>
      <c r="E102" s="301">
        <f t="shared" ref="E102:E107" si="6">C102*$C$25/1000/$C$26*IF(RIGHT(B102,16)="Company Marketed",$D$69,$D$77)</f>
        <v>1872521.283083146</v>
      </c>
      <c r="F102" s="327">
        <f t="shared" si="2"/>
        <v>43.273753527751651</v>
      </c>
      <c r="G102" s="295">
        <f t="shared" si="3"/>
        <v>31.044214487300096</v>
      </c>
      <c r="H102" s="295">
        <f t="shared" si="4"/>
        <v>8.9369708372530585</v>
      </c>
      <c r="I102" s="295">
        <f t="shared" si="5"/>
        <v>411.89412777735271</v>
      </c>
      <c r="J102" s="327">
        <f t="shared" ref="J102:J107" si="7">SUM(F102:I102)</f>
        <v>495.14906662965751</v>
      </c>
      <c r="K102" s="304">
        <f t="shared" ref="K102:K107" si="8">C102*$J102*$C$25/1000000</f>
        <v>164.50858337455207</v>
      </c>
      <c r="L102" s="304"/>
      <c r="M102" s="247"/>
      <c r="N102" s="247"/>
      <c r="O102" s="247"/>
      <c r="P102" s="247"/>
    </row>
    <row r="103" spans="2:16">
      <c r="B103" s="25" t="str">
        <f>VLOOKUP(COUNT($B$81:B83),$B$81:$C$87,2,FALSE)</f>
        <v>Third Party Produced + Company Refined + Company Marketed</v>
      </c>
      <c r="C103" s="301">
        <f>VLOOKUP(COUNT($B$81:B83),$B$81:$D$87,3,FALSE)</f>
        <v>178.58399999999983</v>
      </c>
      <c r="D103" s="301">
        <f t="shared" ref="D103:D107" si="9">C103*$C$25/1000/$C$26*IF(RIGHT(B103,16)="Company Marketed",$C$69,$C$77)</f>
        <v>386797.64366637392</v>
      </c>
      <c r="E103" s="301">
        <f t="shared" si="6"/>
        <v>367374.980025356</v>
      </c>
      <c r="F103" s="327">
        <f t="shared" si="2"/>
        <v>43.273753527751651</v>
      </c>
      <c r="G103" s="295">
        <f t="shared" si="3"/>
        <v>34.807149576669801</v>
      </c>
      <c r="H103" s="295">
        <f>$H$95</f>
        <v>8.9369708372530585</v>
      </c>
      <c r="I103" s="295">
        <f t="shared" si="5"/>
        <v>411.89412777735271</v>
      </c>
      <c r="J103" s="327">
        <f t="shared" si="7"/>
        <v>498.91200171902722</v>
      </c>
      <c r="K103" s="304">
        <f t="shared" si="8"/>
        <v>32.520660833971597</v>
      </c>
      <c r="L103" s="304"/>
      <c r="M103" s="247"/>
      <c r="N103" s="247"/>
      <c r="O103" s="247"/>
      <c r="P103" s="247"/>
    </row>
    <row r="104" spans="2:16">
      <c r="B104" s="25" t="str">
        <f>VLOOKUP(COUNT($B$81:B84),$B$81:$C$87,2,FALSE)</f>
        <v>Third Party Produced + Company Refined + Third Party Marketed</v>
      </c>
      <c r="C104" s="301">
        <f>VLOOKUP(COUNT($B$81:B84),$B$81:$D$87,3,FALSE)</f>
        <v>1.7053025658242404E-13</v>
      </c>
      <c r="D104" s="301">
        <f t="shared" si="9"/>
        <v>0</v>
      </c>
      <c r="E104" s="301">
        <f t="shared" si="6"/>
        <v>0</v>
      </c>
      <c r="F104" s="327">
        <f t="shared" si="2"/>
        <v>43.273753527751651</v>
      </c>
      <c r="G104" s="295">
        <f t="shared" si="3"/>
        <v>34.807149576669801</v>
      </c>
      <c r="H104" s="295">
        <f t="shared" si="4"/>
        <v>8.9369708372530585</v>
      </c>
      <c r="I104" s="295">
        <f t="shared" si="5"/>
        <v>0</v>
      </c>
      <c r="J104" s="327">
        <f t="shared" si="7"/>
        <v>87.017873941674509</v>
      </c>
      <c r="K104" s="304">
        <f t="shared" si="8"/>
        <v>5.4163008352437366E-15</v>
      </c>
      <c r="L104" s="304"/>
      <c r="M104" s="247"/>
      <c r="N104" s="247"/>
      <c r="O104" s="247"/>
      <c r="P104" s="247"/>
    </row>
    <row r="105" spans="2:16">
      <c r="B105" s="25" t="str">
        <f>VLOOKUP(COUNT($B$81:B85),$B$81:$C$87,2,FALSE)</f>
        <v>Company Produced + Third Party Refined + Company Marketed</v>
      </c>
      <c r="C105" s="301">
        <f>VLOOKUP(COUNT($B$81:B85),$B$81:$D$87,3,FALSE)</f>
        <v>0</v>
      </c>
      <c r="D105" s="301">
        <f t="shared" si="9"/>
        <v>0</v>
      </c>
      <c r="E105" s="301">
        <f t="shared" si="6"/>
        <v>0</v>
      </c>
      <c r="F105" s="327">
        <f t="shared" si="2"/>
        <v>23.706491063029162</v>
      </c>
      <c r="G105" s="295">
        <f t="shared" si="3"/>
        <v>31.044214487300096</v>
      </c>
      <c r="H105" s="295">
        <f t="shared" si="4"/>
        <v>8.9369708372530585</v>
      </c>
      <c r="I105" s="295">
        <f t="shared" si="5"/>
        <v>411.89412777735271</v>
      </c>
      <c r="J105" s="327">
        <f t="shared" si="7"/>
        <v>475.58180416493502</v>
      </c>
      <c r="K105" s="304">
        <f t="shared" si="8"/>
        <v>0</v>
      </c>
      <c r="L105" s="304"/>
      <c r="M105" s="247"/>
      <c r="N105" s="247"/>
      <c r="O105" s="247"/>
      <c r="P105" s="247"/>
    </row>
    <row r="106" spans="2:16">
      <c r="B106" s="25" t="str">
        <f>VLOOKUP(COUNT($B$81:B86),$B$81:$C$87,2,FALSE)</f>
        <v>Company Produced + Company Refined + Third Party Marketed</v>
      </c>
      <c r="C106" s="301">
        <f>VLOOKUP(COUNT($B$81:B86),$B$81:$D$87,3,FALSE)</f>
        <v>0</v>
      </c>
      <c r="D106" s="301">
        <f t="shared" si="9"/>
        <v>0</v>
      </c>
      <c r="E106" s="301">
        <f t="shared" si="6"/>
        <v>0</v>
      </c>
      <c r="F106" s="327">
        <f t="shared" si="2"/>
        <v>23.706491063029162</v>
      </c>
      <c r="G106" s="295">
        <f t="shared" si="3"/>
        <v>34.807149576669801</v>
      </c>
      <c r="H106" s="295">
        <f t="shared" si="4"/>
        <v>8.9369708372530585</v>
      </c>
      <c r="I106" s="295">
        <f t="shared" si="5"/>
        <v>0</v>
      </c>
      <c r="J106" s="327">
        <f t="shared" si="7"/>
        <v>67.45061147695202</v>
      </c>
      <c r="K106" s="304">
        <f t="shared" si="8"/>
        <v>0</v>
      </c>
      <c r="L106" s="304"/>
      <c r="M106" s="247"/>
      <c r="N106" s="247"/>
      <c r="O106" s="247"/>
      <c r="P106" s="247"/>
    </row>
    <row r="107" spans="2:16">
      <c r="B107" s="183" t="str">
        <f>VLOOKUP(COUNT($B$81:B87),$B$81:$C$87,2,FALSE)</f>
        <v>Company Produced + Third Party Refined + Third Party Marketed</v>
      </c>
      <c r="C107" s="328">
        <f>VLOOKUP(COUNT($B$81:B87),$B$81:$D$87,3,FALSE)</f>
        <v>0</v>
      </c>
      <c r="D107" s="328">
        <f t="shared" si="9"/>
        <v>0</v>
      </c>
      <c r="E107" s="328">
        <f t="shared" si="6"/>
        <v>0</v>
      </c>
      <c r="F107" s="329">
        <f t="shared" si="2"/>
        <v>23.706491063029162</v>
      </c>
      <c r="G107" s="330">
        <f t="shared" si="3"/>
        <v>31.044214487300096</v>
      </c>
      <c r="H107" s="330">
        <f t="shared" si="4"/>
        <v>8.9369708372530585</v>
      </c>
      <c r="I107" s="330">
        <f t="shared" si="5"/>
        <v>0</v>
      </c>
      <c r="J107" s="329">
        <f t="shared" si="7"/>
        <v>63.687676387582314</v>
      </c>
      <c r="K107" s="297">
        <f t="shared" si="8"/>
        <v>0</v>
      </c>
      <c r="L107" s="297"/>
      <c r="M107" s="247"/>
      <c r="N107" s="247"/>
      <c r="O107" s="247"/>
      <c r="P107" s="247"/>
    </row>
    <row r="108" spans="2:16">
      <c r="B108" s="25"/>
      <c r="C108" s="301">
        <f>SUM(C101:C107)</f>
        <v>2509</v>
      </c>
      <c r="D108" s="301">
        <f>SUM(D101:D107)</f>
        <v>5434279.0393256564</v>
      </c>
      <c r="E108" s="301">
        <f>SUM(E101:E107)</f>
        <v>5161402.0566434776</v>
      </c>
      <c r="F108" s="327"/>
      <c r="G108" s="295"/>
      <c r="H108" s="247"/>
      <c r="I108" s="295"/>
      <c r="J108" s="295"/>
      <c r="K108" s="304">
        <f>SUM(K101:K107)</f>
        <v>445.50301598344089</v>
      </c>
      <c r="L108" s="304"/>
      <c r="M108" s="247"/>
      <c r="N108" s="65"/>
      <c r="O108" s="247"/>
      <c r="P108" s="247"/>
    </row>
    <row r="109" spans="2:16">
      <c r="B109" s="287"/>
      <c r="C109" s="297"/>
      <c r="D109" s="287"/>
      <c r="E109" s="287"/>
      <c r="F109" s="331"/>
      <c r="G109" s="287"/>
      <c r="H109" s="287"/>
      <c r="I109" s="287"/>
      <c r="J109" s="287"/>
      <c r="K109" s="287"/>
      <c r="L109" s="287"/>
      <c r="M109" s="247"/>
      <c r="N109" s="247"/>
      <c r="O109" s="247"/>
      <c r="P109" s="247"/>
    </row>
    <row r="110" spans="2:16">
      <c r="B110" s="68" t="s">
        <v>435</v>
      </c>
      <c r="C110" s="247"/>
      <c r="D110" s="247"/>
      <c r="E110" s="247"/>
      <c r="F110" s="247"/>
      <c r="G110" s="247"/>
      <c r="H110" s="247"/>
      <c r="I110" s="247"/>
      <c r="J110" s="247"/>
      <c r="K110" s="247"/>
      <c r="L110" s="247"/>
      <c r="M110" s="247"/>
      <c r="N110" s="247"/>
      <c r="O110" s="247"/>
      <c r="P110" s="247"/>
    </row>
    <row r="111" spans="2:16" ht="147" customHeight="1">
      <c r="B111" s="69" t="s">
        <v>436</v>
      </c>
      <c r="C111" s="69" t="s">
        <v>437</v>
      </c>
      <c r="D111" s="69" t="s">
        <v>438</v>
      </c>
      <c r="E111" s="69" t="s">
        <v>439</v>
      </c>
      <c r="F111" s="69" t="s">
        <v>440</v>
      </c>
      <c r="G111" s="69" t="s">
        <v>441</v>
      </c>
      <c r="H111" s="69" t="s">
        <v>442</v>
      </c>
      <c r="I111" s="69" t="s">
        <v>443</v>
      </c>
      <c r="J111" s="69" t="s">
        <v>444</v>
      </c>
      <c r="K111" s="69" t="s">
        <v>445</v>
      </c>
      <c r="L111" s="43"/>
      <c r="M111" s="247"/>
      <c r="N111" s="247"/>
      <c r="O111" s="247"/>
      <c r="P111" s="247"/>
    </row>
  </sheetData>
  <sheetProtection selectLockedCells="1" selectUnlockedCells="1"/>
  <mergeCells count="2">
    <mergeCell ref="G18:K18"/>
    <mergeCell ref="B99:E99"/>
  </mergeCells>
  <phoneticPr fontId="5" type="noConversion"/>
  <hyperlinks>
    <hyperlink ref="G18:K18" location="'Refined Products - Alt Calc'!A1" display="  Use Alternative Calculation. Enter Input Total Refined Products by clicking here." xr:uid="{43A72F26-0E15-43DE-AB5A-A0D11C980084}"/>
  </hyperlinks>
  <pageMargins left="0.7" right="0.7" top="0.75" bottom="0.75" header="0.3" footer="0.3"/>
  <pageSetup scale="24" orientation="landscape" r:id="rId1"/>
  <ignoredErrors>
    <ignoredError sqref="C57:E59 D92:D95 C25:C26 C55:D55 C56:E56 E5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9471" r:id="rId4" name="Check Box 15">
              <controlPr defaultSize="0" autoFill="0" autoLine="0" autoPict="0">
                <anchor moveWithCells="1">
                  <from>
                    <xdr:col>6</xdr:col>
                    <xdr:colOff>449580</xdr:colOff>
                    <xdr:row>15</xdr:row>
                    <xdr:rowOff>175260</xdr:rowOff>
                  </from>
                  <to>
                    <xdr:col>6</xdr:col>
                    <xdr:colOff>655320</xdr:colOff>
                    <xdr:row>17</xdr:row>
                    <xdr:rowOff>144780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3b784c7-ee61-4ee7-89a9-d87ec2bf0954" ContentTypeId="0x010100FBB1BDE89FB27C449A0E29AF421E312401" PreviousValue="false"/>
</file>

<file path=customXml/item2.xml><?xml version="1.0" encoding="utf-8"?>
<p:properties xmlns:p="http://schemas.microsoft.com/office/2006/metadata/properties" xmlns:xsi="http://www.w3.org/2001/XMLSchema-instance" xmlns:pc="http://schemas.microsoft.com/office/infopath/2007/PartnerControls">
  <documentManagement>
    <TaxCatchAll xmlns="b9f1db13-37d0-4e45-944c-b878e8992007">
      <Value>2</Value>
      <Value>12</Value>
    </TaxCatchAll>
    <SharedWithUsers xmlns="b20aa34e-9812-4c60-9b33-6fb548b11d56">
      <UserInfo>
        <DisplayName>Pacsi, Adam</DisplayName>
        <AccountId>32</AccountId>
        <AccountType/>
      </UserInfo>
      <UserInfo>
        <DisplayName>Haddix, Alison</DisplayName>
        <AccountId>2683</AccountId>
        <AccountType/>
      </UserInfo>
      <UserInfo>
        <DisplayName>Kurt, Laura</DisplayName>
        <AccountId>2773</AccountId>
        <AccountType/>
      </UserInfo>
      <UserInfo>
        <DisplayName>Hayes, Jen</DisplayName>
        <AccountId>80</AccountId>
        <AccountType/>
      </UserInfo>
      <UserInfo>
        <DisplayName>Mulkerin Ortiz, Julie</DisplayName>
        <AccountId>11</AccountId>
        <AccountType/>
      </UserInfo>
      <UserInfo>
        <DisplayName>Heddle, Gemma</DisplayName>
        <AccountId>2266</AccountId>
        <AccountType/>
      </UserInfo>
      <UserInfo>
        <DisplayName>Epifani, Lisa</DisplayName>
        <AccountId>77</AccountId>
        <AccountType/>
      </UserInfo>
      <UserInfo>
        <DisplayName>Griffin, Maureen</DisplayName>
        <AccountId>1027</AccountId>
        <AccountType/>
      </UserInfo>
      <UserInfo>
        <DisplayName>Sunwall, Carter</DisplayName>
        <AccountId>3378</AccountId>
        <AccountType/>
      </UserInfo>
      <UserInfo>
        <DisplayName>Tungpalan, Jay [Cella Consulting]</DisplayName>
        <AccountId>5292</AccountId>
        <AccountType/>
      </UserInfo>
      <UserInfo>
        <DisplayName>Conatser, Marcela [Cella Consulting]</DisplayName>
        <AccountId>3188</AccountId>
        <AccountType/>
      </UserInfo>
      <UserInfo>
        <DisplayName>Schillaci, Stephenie [Cella Consulting]</DisplayName>
        <AccountId>5293</AccountId>
        <AccountType/>
      </UserInfo>
      <UserInfo>
        <DisplayName>Pettie, Liz</DisplayName>
        <AccountId>5298</AccountId>
        <AccountType/>
      </UserInfo>
      <UserInfo>
        <DisplayName>Stack, Meagen</DisplayName>
        <AccountId>1987</AccountId>
        <AccountType/>
      </UserInfo>
      <UserInfo>
        <DisplayName>Hasenkampf, Madi</DisplayName>
        <AccountId>4172</AccountId>
        <AccountType/>
      </UserInfo>
      <UserInfo>
        <DisplayName>Stehouwer, Mark</DisplayName>
        <AccountId>750</AccountId>
        <AccountType/>
      </UserInfo>
      <UserInfo>
        <DisplayName>Kapur, Amit</DisplayName>
        <AccountId>4751</AccountId>
        <AccountType/>
      </UserInfo>
    </SharedWithUsers>
    <lcf76f155ced4ddcb4097134ff3c332f xmlns="5e7f3b36-4285-4bd8-8e6c-92164bda8ec9">
      <Terms xmlns="http://schemas.microsoft.com/office/infopath/2007/PartnerControls"/>
    </lcf76f155ced4ddcb4097134ff3c332f>
    <Retention_x0020_Start_x0020_Date xmlns="b9f1db13-37d0-4e45-944c-b878e8992007" xsi:nil="true"/>
    <Preservation_x0020_Order_x0020_Numbers xmlns="e6bb6fa4-9c23-4df5-9c72-0315fa8fef6d">21605</Preservation_x0020_Order_x0020_Numbers>
    <p01231d88c934046812dbe39cf15431a xmlns="fae423db-7aea-40a7-8e81-2a365c617d65">
      <Terms xmlns="http://schemas.microsoft.com/office/infopath/2007/PartnerControls">
        <TermInfo xmlns="http://schemas.microsoft.com/office/infopath/2007/PartnerControls">
          <TermName xmlns="http://schemas.microsoft.com/office/infopath/2007/PartnerControls">Reference Document</TermName>
          <TermId xmlns="http://schemas.microsoft.com/office/infopath/2007/PartnerControls">b32bd135-7ebe-49d0-bfcc-ca766c5e9989</TermId>
        </TermInfo>
      </Terms>
    </p01231d88c934046812dbe39cf15431a>
    <p01231d88c934046812dbe39cf15430a xmlns="fae423db-7aea-40a7-8e81-2a365c617d65">
      <Terms xmlns="http://schemas.microsoft.com/office/infopath/2007/PartnerControls">
        <TermInfo xmlns="http://schemas.microsoft.com/office/infopath/2007/PartnerControls">
          <TermName xmlns="http://schemas.microsoft.com/office/infopath/2007/PartnerControls">Midstream HQ</TermName>
          <TermId xmlns="http://schemas.microsoft.com/office/infopath/2007/PartnerControls">677e0b76-b05a-4771-acbd-17603a723c94</TermId>
        </TermInfo>
      </Terms>
    </p01231d88c934046812dbe39cf15430a>
    <Retain_x0020_Until_x0020_Date xmlns="b9f1db13-37d0-4e45-944c-b878e8992007" xsi:nil="true"/>
    <IP_x0020_Classification xmlns="e6bb6fa4-9c23-4df5-9c72-0315fa8fef6d">Company Confidential</IP_x0020_Classification>
    <Policy_x0020_Design_x0020_Elements xmlns="5e7f3b36-4285-4bd8-8e6c-92164bda8ec9">
      <Value>Other</Value>
    </Policy_x0020_Design_x0020_Elements>
    <Initiative xmlns="5e7f3b36-4285-4bd8-8e6c-92164bda8ec9">
      <Value>Global</Value>
    </Initiative>
    <Policy_x0020_and_x0020_Positions xmlns="5e7f3b36-4285-4bd8-8e6c-92164bda8ec9">
      <Value>Other</Value>
    </Policy_x0020_and_x0020_Positions>
    <Low_x0020_Carbon_x0020_Analysis xmlns="5e7f3b36-4285-4bd8-8e6c-92164bda8ec9" xsi:nil="true"/>
    <Competitors xmlns="5e7f3b36-4285-4bd8-8e6c-92164bda8ec9">
      <Value>Other</Value>
    </Competitors>
    <Inactive_x0020_Record xmlns="b9f1db13-37d0-4e45-944c-b878e899200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General Document" ma:contentTypeID="0x010100FBB1BDE89FB27C449A0E29AF421E312401008679876BF5DB28419CB5679F129D4A5F" ma:contentTypeVersion="41" ma:contentTypeDescription="Create a new document." ma:contentTypeScope="" ma:versionID="9d3c5e03777b1b22c51c42151684eb00">
  <xsd:schema xmlns:xsd="http://www.w3.org/2001/XMLSchema" xmlns:xs="http://www.w3.org/2001/XMLSchema" xmlns:p="http://schemas.microsoft.com/office/2006/metadata/properties" xmlns:ns3="b9f1db13-37d0-4e45-944c-b878e8992007" xmlns:ns4="e6bb6fa4-9c23-4df5-9c72-0315fa8fef6d" xmlns:ns5="fae423db-7aea-40a7-8e81-2a365c617d65" xmlns:ns6="5e7f3b36-4285-4bd8-8e6c-92164bda8ec9" xmlns:ns7="b20aa34e-9812-4c60-9b33-6fb548b11d56" targetNamespace="http://schemas.microsoft.com/office/2006/metadata/properties" ma:root="true" ma:fieldsID="3b26092bf2e5dfe9b766ccabf9c54f68" ns3:_="" ns4:_="" ns5:_="" ns6:_="" ns7:_="">
    <xsd:import namespace="b9f1db13-37d0-4e45-944c-b878e8992007"/>
    <xsd:import namespace="e6bb6fa4-9c23-4df5-9c72-0315fa8fef6d"/>
    <xsd:import namespace="fae423db-7aea-40a7-8e81-2a365c617d65"/>
    <xsd:import namespace="5e7f3b36-4285-4bd8-8e6c-92164bda8ec9"/>
    <xsd:import namespace="b20aa34e-9812-4c60-9b33-6fb548b11d56"/>
    <xsd:element name="properties">
      <xsd:complexType>
        <xsd:sequence>
          <xsd:element name="documentManagement">
            <xsd:complexType>
              <xsd:all>
                <xsd:element ref="ns4:IP_x0020_Classification" minOccurs="0"/>
                <xsd:element ref="ns4:Preservation_x0020_Order_x0020_Numbers"/>
                <xsd:element ref="ns3:Retention_x0020_Start_x0020_Date" minOccurs="0"/>
                <xsd:element ref="ns3:Retain_x0020_Until_x0020_Date" minOccurs="0"/>
                <xsd:element ref="ns3:TaxCatchAllLabel" minOccurs="0"/>
                <xsd:element ref="ns5:p01231d88c934046812dbe39cf15431a" minOccurs="0"/>
                <xsd:element ref="ns5:p01231d88c934046812dbe39cf15430a" minOccurs="0"/>
                <xsd:element ref="ns3:TaxCatchAll" minOccurs="0"/>
                <xsd:element ref="ns3:Inactive_x0020_Record" minOccurs="0"/>
                <xsd:element ref="ns6:MediaServiceMetadata" minOccurs="0"/>
                <xsd:element ref="ns6:MediaServiceFastMetadata" minOccurs="0"/>
                <xsd:element ref="ns6:MediaServiceAutoTags" minOccurs="0"/>
                <xsd:element ref="ns6:MediaServiceGenerationTime" minOccurs="0"/>
                <xsd:element ref="ns6:MediaServiceEventHashCode" minOccurs="0"/>
                <xsd:element ref="ns6:MediaServiceDateTaken" minOccurs="0"/>
                <xsd:element ref="ns6:MediaServiceOCR" minOccurs="0"/>
                <xsd:element ref="ns6:MediaServiceLocation" minOccurs="0"/>
                <xsd:element ref="ns7:SharedWithUsers" minOccurs="0"/>
                <xsd:element ref="ns7:SharedWithDetails" minOccurs="0"/>
                <xsd:element ref="ns6:Initiative" minOccurs="0"/>
                <xsd:element ref="ns6:Policy_x0020_Design_x0020_Elements" minOccurs="0"/>
                <xsd:element ref="ns6:Low_x0020_Carbon_x0020_Analysis" minOccurs="0"/>
                <xsd:element ref="ns6:Competitors" minOccurs="0"/>
                <xsd:element ref="ns6:Policy_x0020_and_x0020_Positions" minOccurs="0"/>
                <xsd:element ref="ns6:MediaServiceAutoKeyPoints" minOccurs="0"/>
                <xsd:element ref="ns6:MediaServiceKeyPoints" minOccurs="0"/>
                <xsd:element ref="ns6:MediaLengthInSeconds" minOccurs="0"/>
                <xsd:element ref="ns6: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f1db13-37d0-4e45-944c-b878e8992007" elementFormDefault="qualified">
    <xsd:import namespace="http://schemas.microsoft.com/office/2006/documentManagement/types"/>
    <xsd:import namespace="http://schemas.microsoft.com/office/infopath/2007/PartnerControls"/>
    <xsd:element name="Retention_x0020_Start_x0020_Date" ma:index="7" nillable="true" ma:displayName="Retention Start Date" ma:description="The start date for retention period calculation." ma:format="DateOnly" ma:internalName="Retention_x0020_Start_x0020_Date">
      <xsd:simpleType>
        <xsd:restriction base="dms:DateTime"/>
      </xsd:simpleType>
    </xsd:element>
    <xsd:element name="Retain_x0020_Until_x0020_Date" ma:index="8" nillable="true" ma:displayName="Retain Until Date" ma:description="The start date for retention period calculation." ma:format="DateOnly" ma:internalName="Retain_x0020_Until_x0020_Date">
      <xsd:simpleType>
        <xsd:restriction base="dms:DateTime"/>
      </xsd:simpleType>
    </xsd:element>
    <xsd:element name="TaxCatchAllLabel" ma:index="9" nillable="true" ma:displayName="Taxonomy Catch All Column1" ma:description="" ma:hidden="true" ma:list="{6e0942ea-3992-4296-aaaf-fd3c558278ce}" ma:internalName="TaxCatchAllLabel" ma:readOnly="true" ma:showField="CatchAllDataLabel" ma:web="d1e45ea9-ca96-4e89-9ca0-3ba221436c76">
      <xsd:complexType>
        <xsd:complexContent>
          <xsd:extension base="dms:MultiChoiceLookup">
            <xsd:sequence>
              <xsd:element name="Value" type="dms:Lookup" maxOccurs="unbounded" minOccurs="0" nillable="true"/>
            </xsd:sequence>
          </xsd:extension>
        </xsd:complexContent>
      </xsd:complexType>
    </xsd:element>
    <xsd:element name="TaxCatchAll" ma:index="17" nillable="true" ma:displayName="Taxonomy Catch All Column" ma:description="" ma:hidden="true" ma:list="{6e0942ea-3992-4296-aaaf-fd3c558278ce}" ma:internalName="TaxCatchAll" ma:showField="CatchAllData" ma:web="d1e45ea9-ca96-4e89-9ca0-3ba221436c76">
      <xsd:complexType>
        <xsd:complexContent>
          <xsd:extension base="dms:MultiChoiceLookup">
            <xsd:sequence>
              <xsd:element name="Value" type="dms:Lookup" maxOccurs="unbounded" minOccurs="0" nillable="true"/>
            </xsd:sequence>
          </xsd:extension>
        </xsd:complexContent>
      </xsd:complexType>
    </xsd:element>
    <xsd:element name="Inactive_x0020_Record" ma:index="19" nillable="true" ma:displayName="Inactive Record" ma:description="Used to designate records as inactive." ma:internalName="Inactive_x0020_Recor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e6bb6fa4-9c23-4df5-9c72-0315fa8fef6d" elementFormDefault="qualified">
    <xsd:import namespace="http://schemas.microsoft.com/office/2006/documentManagement/types"/>
    <xsd:import namespace="http://schemas.microsoft.com/office/infopath/2007/PartnerControls"/>
    <xsd:element name="IP_x0020_Classification" ma:index="4" nillable="true" ma:displayName="IP Classification" ma:default="Company Confidential" ma:description="Sensitivity of the information" ma:format="Dropdown" ma:internalName="IP_x0020_Classification" ma:readOnly="false">
      <xsd:simpleType>
        <xsd:restriction base="dms:Choice">
          <xsd:enumeration value="Public"/>
          <xsd:enumeration value="Company Confidential"/>
          <xsd:enumeration value="Confidential Restricted"/>
          <xsd:enumeration value="Classified"/>
        </xsd:restriction>
      </xsd:simpleType>
    </xsd:element>
    <xsd:element name="Preservation_x0020_Order_x0020_Numbers" ma:index="5" ma:displayName="Preservation Order Numbers" ma:default="21605" ma:description="Preservation Order Numbers, when issued by Legal, require that this item MUST NOT be deleted. Separate multiple preservation order numbers with commas." ma:internalName="Preservation_x0020_Order_x0020_Number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ae423db-7aea-40a7-8e81-2a365c617d65" elementFormDefault="qualified">
    <xsd:import namespace="http://schemas.microsoft.com/office/2006/documentManagement/types"/>
    <xsd:import namespace="http://schemas.microsoft.com/office/infopath/2007/PartnerControls"/>
    <xsd:element name="p01231d88c934046812dbe39cf15431a" ma:index="13" nillable="true" ma:taxonomy="true" ma:internalName="p01231d88c934046812dbe39cf15431a" ma:taxonomyFieldName="Retention_x0020_Category" ma:displayName="Retention Category" ma:indexed="true" ma:readOnly="false" ma:default="12;#Reference Document|b32bd135-7ebe-49d0-bfcc-ca766c5e9989" ma:fieldId="{fd1ef4d8-3e07-46a2-b2b4-c9e81ccc81f4}" ma:sspId="03b784c7-ee61-4ee7-89a9-d87ec2bf0954" ma:termSetId="fda4940a-b680-4317-929f-5e2e0638e24f" ma:anchorId="00000000-0000-0000-0000-000000000000" ma:open="false" ma:isKeyword="false">
      <xsd:complexType>
        <xsd:sequence>
          <xsd:element ref="pc:Terms" minOccurs="0" maxOccurs="1"/>
        </xsd:sequence>
      </xsd:complexType>
    </xsd:element>
    <xsd:element name="p01231d88c934046812dbe39cf15430a" ma:index="16" nillable="true" ma:taxonomy="true" ma:internalName="p01231d88c934046812dbe39cf15430a" ma:taxonomyFieldName="Chevron_x0020_Organization" ma:displayName="Owner Organization" ma:readOnly="false" ma:default="2;#Midstream HQ|677e0b76-b05a-4771-acbd-17603a723c94" ma:fieldId="{901231d8-8c93-4046-812d-be39cf15430a}" ma:sspId="03b784c7-ee61-4ee7-89a9-d87ec2bf0954" ma:termSetId="4bf10e93-cbf8-470b-bd43-152d61f742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7f3b36-4285-4bd8-8e6c-92164bda8ec9" elementFormDefault="qualified">
    <xsd:import namespace="http://schemas.microsoft.com/office/2006/documentManagement/types"/>
    <xsd:import namespace="http://schemas.microsoft.com/office/infopath/2007/PartnerControls"/>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element name="MediaServiceAutoTags" ma:index="22" nillable="true" ma:displayName="Tags" ma:internalName="MediaServiceAutoTags"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DateTaken" ma:index="25" nillable="true" ma:displayName="MediaServiceDateTaken" ma:hidden="true" ma:internalName="MediaServiceDateTaken" ma:readOnly="true">
      <xsd:simpleType>
        <xsd:restriction base="dms:Text"/>
      </xsd:simpleType>
    </xsd:element>
    <xsd:element name="MediaServiceOCR" ma:index="26" nillable="true" ma:displayName="Extracted Text" ma:internalName="MediaServiceOCR" ma:readOnly="true">
      <xsd:simpleType>
        <xsd:restriction base="dms:Note">
          <xsd:maxLength value="255"/>
        </xsd:restriction>
      </xsd:simpleType>
    </xsd:element>
    <xsd:element name="MediaServiceLocation" ma:index="27" nillable="true" ma:displayName="Location" ma:internalName="MediaServiceLocation" ma:readOnly="true">
      <xsd:simpleType>
        <xsd:restriction base="dms:Text"/>
      </xsd:simpleType>
    </xsd:element>
    <xsd:element name="Initiative" ma:index="30" nillable="true" ma:displayName="Jurisdiction" ma:default="Global" ma:internalName="Initiative">
      <xsd:complexType>
        <xsd:complexContent>
          <xsd:extension base="dms:MultiChoiceFillIn">
            <xsd:sequence>
              <xsd:element name="Value" maxOccurs="unbounded" minOccurs="0" nillable="true">
                <xsd:simpleType>
                  <xsd:union memberTypes="dms:Text">
                    <xsd:simpleType>
                      <xsd:restriction base="dms:Choice">
                        <xsd:enumeration value="Algeria"/>
                        <xsd:enumeration value="Angola"/>
                        <xsd:enumeration value="Argentina"/>
                        <xsd:enumeration value="Australia"/>
                        <xsd:enumeration value="Bangladesh"/>
                        <xsd:enumeration value="Brazil"/>
                        <xsd:enumeration value="Canada"/>
                        <xsd:enumeration value="Caribbean"/>
                        <xsd:enumeration value="Chile"/>
                        <xsd:enumeration value="China"/>
                        <xsd:enumeration value="Colombia"/>
                        <xsd:enumeration value="Costa Rica"/>
                        <xsd:enumeration value="EU"/>
                        <xsd:enumeration value="Global"/>
                        <xsd:enumeration value="India"/>
                        <xsd:enumeration value="Indonesia"/>
                        <xsd:enumeration value="India"/>
                        <xsd:enumeration value="Japan"/>
                        <xsd:enumeration value="Kazakhstan"/>
                        <xsd:enumeration value="Korea"/>
                        <xsd:enumeration value="Mexico"/>
                        <xsd:enumeration value="Middle East"/>
                        <xsd:enumeration value="New Zealand"/>
                        <xsd:enumeration value="Nigeria"/>
                        <xsd:enumeration value="Philippines"/>
                        <xsd:enumeration value="Russia"/>
                        <xsd:enumeration value="Saudi Arabia"/>
                        <xsd:enumeration value="Singapore"/>
                        <xsd:enumeration value="South Africa"/>
                        <xsd:enumeration value="Switzerland"/>
                        <xsd:enumeration value="Taiwan"/>
                        <xsd:enumeration value="Thailand"/>
                        <xsd:enumeration value="Turkey"/>
                        <xsd:enumeration value="Morocco"/>
                        <xsd:enumeration value="USA - All"/>
                        <xsd:enumeration value="US - California"/>
                        <xsd:enumeration value="US - Oregon"/>
                        <xsd:enumeration value="US - New Mexico"/>
                        <xsd:enumeration value="US - Pennsylvania"/>
                        <xsd:enumeration value="US - Other States"/>
                        <xsd:enumeration value="Venezuela"/>
                        <xsd:enumeration value="Vietnam"/>
                      </xsd:restriction>
                    </xsd:simpleType>
                  </xsd:union>
                </xsd:simpleType>
              </xsd:element>
            </xsd:sequence>
          </xsd:extension>
        </xsd:complexContent>
      </xsd:complexType>
    </xsd:element>
    <xsd:element name="Policy_x0020_Design_x0020_Elements" ma:index="31" nillable="true" ma:displayName="Policy Design Elements" ma:default="Other" ma:internalName="Policy_x0020_Design_x0020_Elements">
      <xsd:complexType>
        <xsd:complexContent>
          <xsd:extension base="dms:MultiChoice">
            <xsd:sequence>
              <xsd:element name="Value" maxOccurs="unbounded" minOccurs="0" nillable="true">
                <xsd:simpleType>
                  <xsd:restriction base="dms:Choice">
                    <xsd:enumeration value="Abatement"/>
                    <xsd:enumeration value="Adaptation"/>
                    <xsd:enumeration value="Allocation Methodology"/>
                    <xsd:enumeration value="Auctions"/>
                    <xsd:enumeration value="BAU"/>
                    <xsd:enumeration value="Benchmarking"/>
                    <xsd:enumeration value="Cap"/>
                    <xsd:enumeration value="Compliance"/>
                    <xsd:enumeration value="Cost Recovery"/>
                    <xsd:enumeration value="Direct vs Indirect Emissions"/>
                    <xsd:enumeration value="Emissions Intensity Formula"/>
                    <xsd:enumeration value="GHGs Covered"/>
                    <xsd:enumeration value="Implement, Evaluate, and Improve"/>
                    <xsd:enumeration value="Leakage"/>
                    <xsd:enumeration value="Linkage"/>
                    <xsd:enumeration value="New Entrants"/>
                    <xsd:enumeration value="Offsets"/>
                    <xsd:enumeration value="Price Containment"/>
                    <xsd:enumeration value="Reduction Target"/>
                    <xsd:enumeration value="Revenue Use"/>
                    <xsd:enumeration value="Sectors"/>
                    <xsd:enumeration value="Tax Treatment"/>
                    <xsd:enumeration value="Temporal Flexibility"/>
                    <xsd:enumeration value="Trade Exposure"/>
                    <xsd:enumeration value="True-Up"/>
                    <xsd:enumeration value="Other"/>
                  </xsd:restriction>
                </xsd:simpleType>
              </xsd:element>
            </xsd:sequence>
          </xsd:extension>
        </xsd:complexContent>
      </xsd:complexType>
    </xsd:element>
    <xsd:element name="Low_x0020_Carbon_x0020_Analysis" ma:index="32" nillable="true" ma:displayName="Low Carbon Analysis" ma:internalName="Low_x0020_Carbon_x0020_Analysis">
      <xsd:complexType>
        <xsd:complexContent>
          <xsd:extension base="dms:MultiChoice">
            <xsd:sequence>
              <xsd:element name="Value" maxOccurs="unbounded" minOccurs="0" nillable="true">
                <xsd:simpleType>
                  <xsd:restriction base="dms:Choice">
                    <xsd:enumeration value="1 Low Carbon Scenario Analysis"/>
                    <xsd:enumeration value="2 Valuation and Risks Metrics Analysis"/>
                    <xsd:enumeration value="3 What Companies Should Do"/>
                    <xsd:enumeration value="4 Company Actions"/>
                    <xsd:enumeration value="5 Standards"/>
                    <xsd:enumeration value="Other"/>
                  </xsd:restriction>
                </xsd:simpleType>
              </xsd:element>
            </xsd:sequence>
          </xsd:extension>
        </xsd:complexContent>
      </xsd:complexType>
    </xsd:element>
    <xsd:element name="Competitors" ma:index="33" nillable="true" ma:displayName="Competitors" ma:default="Other" ma:internalName="Competitors">
      <xsd:complexType>
        <xsd:complexContent>
          <xsd:extension base="dms:MultiChoice">
            <xsd:sequence>
              <xsd:element name="Value" maxOccurs="unbounded" minOccurs="0" nillable="true">
                <xsd:simpleType>
                  <xsd:restriction base="dms:Choice">
                    <xsd:enumeration value="BP"/>
                    <xsd:enumeration value="CVX"/>
                    <xsd:enumeration value="RDS"/>
                    <xsd:enumeration value="TOT"/>
                    <xsd:enumeration value="XOM"/>
                    <xsd:enumeration value="CP"/>
                    <xsd:enumeration value="EQNR"/>
                    <xsd:enumeration value="Valero"/>
                    <xsd:enumeration value="Brandwatch"/>
                    <xsd:enumeration value="Business Actions"/>
                    <xsd:enumeration value="Other"/>
                  </xsd:restriction>
                </xsd:simpleType>
              </xsd:element>
            </xsd:sequence>
          </xsd:extension>
        </xsd:complexContent>
      </xsd:complexType>
    </xsd:element>
    <xsd:element name="Policy_x0020_and_x0020_Positions" ma:index="34" nillable="true" ma:displayName="Policy and Positions" ma:default="Other" ma:internalName="Policy_x0020_and_x0020_Positions">
      <xsd:complexType>
        <xsd:complexContent>
          <xsd:extension base="dms:MultiChoice">
            <xsd:sequence>
              <xsd:element name="Value" maxOccurs="unbounded" minOccurs="0" nillable="true">
                <xsd:simpleType>
                  <xsd:restriction base="dms:Choice">
                    <xsd:enumeration value="Offsets"/>
                    <xsd:enumeration value="Low Carbon Fuels"/>
                    <xsd:enumeration value="Carbon Neutrality"/>
                    <xsd:enumeration value="Carbon Pricing"/>
                    <xsd:enumeration value="Future Energy"/>
                    <xsd:enumeration value="Other"/>
                  </xsd:restriction>
                </xsd:simpleType>
              </xsd:element>
            </xsd:sequence>
          </xsd:extension>
        </xsd:complexContent>
      </xsd:complexType>
    </xsd:element>
    <xsd:element name="MediaServiceAutoKeyPoints" ma:index="35" nillable="true" ma:displayName="MediaServiceAutoKeyPoints" ma:hidden="true" ma:internalName="MediaServiceAutoKeyPoints" ma:readOnly="true">
      <xsd:simpleType>
        <xsd:restriction base="dms:Note"/>
      </xsd:simpleType>
    </xsd:element>
    <xsd:element name="MediaServiceKeyPoints" ma:index="36" nillable="true" ma:displayName="KeyPoints" ma:internalName="MediaServiceKeyPoints" ma:readOnly="true">
      <xsd:simpleType>
        <xsd:restriction base="dms:Note">
          <xsd:maxLength value="255"/>
        </xsd:restriction>
      </xsd:simpleType>
    </xsd:element>
    <xsd:element name="MediaLengthInSeconds" ma:index="37" nillable="true" ma:displayName="Length (seconds)" ma:internalName="MediaLengthInSeconds" ma:readOnly="true">
      <xsd:simpleType>
        <xsd:restriction base="dms:Unknown"/>
      </xsd:simpleType>
    </xsd:element>
    <xsd:element name="lcf76f155ced4ddcb4097134ff3c332f" ma:index="39" nillable="true" ma:taxonomy="true" ma:internalName="lcf76f155ced4ddcb4097134ff3c332f" ma:taxonomyFieldName="MediaServiceImageTags" ma:displayName="Image Tags" ma:readOnly="false" ma:fieldId="{5cf76f15-5ced-4ddc-b409-7134ff3c332f}" ma:taxonomyMulti="true" ma:sspId="03b784c7-ee61-4ee7-89a9-d87ec2bf095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20aa34e-9812-4c60-9b33-6fb548b11d56" elementFormDefault="qualified">
    <xsd:import namespace="http://schemas.microsoft.com/office/2006/documentManagement/types"/>
    <xsd:import namespace="http://schemas.microsoft.com/office/infopath/2007/PartnerControls"/>
    <xsd:element name="SharedWithUsers" ma:index="2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1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E12998-50F6-41B0-9D46-AA4E49697A32}"/>
</file>

<file path=customXml/itemProps2.xml><?xml version="1.0" encoding="utf-8"?>
<ds:datastoreItem xmlns:ds="http://schemas.openxmlformats.org/officeDocument/2006/customXml" ds:itemID="{ABB6301D-91C6-4CBF-AA94-1EC20E38A2CC}"/>
</file>

<file path=customXml/itemProps3.xml><?xml version="1.0" encoding="utf-8"?>
<ds:datastoreItem xmlns:ds="http://schemas.openxmlformats.org/officeDocument/2006/customXml" ds:itemID="{595DCF82-3568-4CC4-B140-A592B7C5004F}"/>
</file>

<file path=customXml/itemProps4.xml><?xml version="1.0" encoding="utf-8"?>
<ds:datastoreItem xmlns:ds="http://schemas.openxmlformats.org/officeDocument/2006/customXml" ds:itemID="{CD8060F0-927F-4C10-8ABE-0CFDDD71B12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2021-10-07T22:05:32Z</dcterms:created>
  <dcterms:modified xsi:type="dcterms:W3CDTF">2023-05-02T22:54:43Z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e4db608-ddec-4a44-8ad7-7d5a79b7448e_Enabled">
    <vt:lpwstr>true</vt:lpwstr>
  </property>
  <property fmtid="{D5CDD505-2E9C-101B-9397-08002B2CF9AE}" pid="3" name="MSIP_Label_6e4db608-ddec-4a44-8ad7-7d5a79b7448e_SetDate">
    <vt:lpwstr>2021-10-07T22:05:43Z</vt:lpwstr>
  </property>
  <property fmtid="{D5CDD505-2E9C-101B-9397-08002B2CF9AE}" pid="4" name="MSIP_Label_6e4db608-ddec-4a44-8ad7-7d5a79b7448e_Method">
    <vt:lpwstr>Privileged</vt:lpwstr>
  </property>
  <property fmtid="{D5CDD505-2E9C-101B-9397-08002B2CF9AE}" pid="5" name="MSIP_Label_6e4db608-ddec-4a44-8ad7-7d5a79b7448e_Name">
    <vt:lpwstr>Internal</vt:lpwstr>
  </property>
  <property fmtid="{D5CDD505-2E9C-101B-9397-08002B2CF9AE}" pid="6" name="MSIP_Label_6e4db608-ddec-4a44-8ad7-7d5a79b7448e_SiteId">
    <vt:lpwstr>fd799da1-bfc1-4234-a91c-72b3a1cb9e26</vt:lpwstr>
  </property>
  <property fmtid="{D5CDD505-2E9C-101B-9397-08002B2CF9AE}" pid="7" name="MSIP_Label_6e4db608-ddec-4a44-8ad7-7d5a79b7448e_ActionId">
    <vt:lpwstr>c59d36e5-064b-40a0-b161-98be676784c7</vt:lpwstr>
  </property>
  <property fmtid="{D5CDD505-2E9C-101B-9397-08002B2CF9AE}" pid="8" name="MSIP_Label_6e4db608-ddec-4a44-8ad7-7d5a79b7448e_ContentBits">
    <vt:lpwstr>0</vt:lpwstr>
  </property>
  <property fmtid="{D5CDD505-2E9C-101B-9397-08002B2CF9AE}" pid="9" name="ContentTypeId">
    <vt:lpwstr>0x010100FBB1BDE89FB27C449A0E29AF421E312401008679876BF5DB28419CB5679F129D4A5F</vt:lpwstr>
  </property>
  <property fmtid="{D5CDD505-2E9C-101B-9397-08002B2CF9AE}" pid="10" name="f1f5acf37a9e4df8843432af9802a72a">
    <vt:lpwstr/>
  </property>
  <property fmtid="{D5CDD505-2E9C-101B-9397-08002B2CF9AE}" pid="11" name="Retention Category">
    <vt:lpwstr>12;#Reference Document|b32bd135-7ebe-49d0-bfcc-ca766c5e9989</vt:lpwstr>
  </property>
  <property fmtid="{D5CDD505-2E9C-101B-9397-08002B2CF9AE}" pid="12" name="Chevron Organization">
    <vt:lpwstr>2;#Midstream HQ|677e0b76-b05a-4771-acbd-17603a723c94</vt:lpwstr>
  </property>
  <property fmtid="{D5CDD505-2E9C-101B-9397-08002B2CF9AE}" pid="13" name="Chevron_x0020_Discipline">
    <vt:lpwstr/>
  </property>
  <property fmtid="{D5CDD505-2E9C-101B-9397-08002B2CF9AE}" pid="14" name="Chevron Discipline">
    <vt:lpwstr/>
  </property>
  <property fmtid="{D5CDD505-2E9C-101B-9397-08002B2CF9AE}" pid="15" name="SV_QUERY_LIST_4F35BF76-6C0D-4D9B-82B2-816C12CF3733">
    <vt:lpwstr>empty_477D106A-C0D6-4607-AEBD-E2C9D60EA279</vt:lpwstr>
  </property>
  <property fmtid="{D5CDD505-2E9C-101B-9397-08002B2CF9AE}" pid="16" name="SV_HIDDEN_GRID_QUERY_LIST_4F35BF76-6C0D-4D9B-82B2-816C12CF3733">
    <vt:lpwstr>empty_477D106A-C0D6-4607-AEBD-E2C9D60EA279</vt:lpwstr>
  </property>
  <property fmtid="{D5CDD505-2E9C-101B-9397-08002B2CF9AE}" pid="17" name="MediaServiceImageTags">
    <vt:lpwstr/>
  </property>
</Properties>
</file>